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0berg02\Box\Teaching\IMBA\IMBA 27\"/>
    </mc:Choice>
  </mc:AlternateContent>
  <bookViews>
    <workbookView xWindow="0" yWindow="0" windowWidth="19200" windowHeight="8580" tabRatio="842" activeTab="9"/>
  </bookViews>
  <sheets>
    <sheet name="Instructions" sheetId="2" r:id="rId1"/>
    <sheet name="Assumptions" sheetId="3" r:id="rId2"/>
    <sheet name="Grants" sheetId="11" r:id="rId3"/>
    <sheet name="PROD" sheetId="20" r:id="rId4"/>
    <sheet name="COGS" sheetId="15" r:id="rId5"/>
    <sheet name="Details" sheetId="4" r:id="rId6"/>
    <sheet name="Summary Statements" sheetId="6" r:id="rId7"/>
    <sheet name="Summary Tables" sheetId="19" r:id="rId8"/>
    <sheet name="Exit" sheetId="21" r:id="rId9"/>
    <sheet name="Cap Sturcture" sheetId="22" r:id="rId10"/>
    <sheet name="Sources" sheetId="17" r:id="rId11"/>
  </sheets>
  <externalReferences>
    <externalReference r:id="rId12"/>
  </externalReferences>
  <definedNames>
    <definedName name="all" localSheetId="4">COGS!$C$1:$AH$39</definedName>
    <definedName name="all">Details!$E$6:$AH$397</definedName>
    <definedName name="balance" localSheetId="4">COGS!#REF!</definedName>
    <definedName name="balance" localSheetId="5">Details!$E$169:$AH$223</definedName>
    <definedName name="balance" localSheetId="6">'Summary Statements'!$A$37:$G$76</definedName>
    <definedName name="big">'Summary Statements'!$A$6:$G$109</definedName>
    <definedName name="calculations" localSheetId="4">COGS!#REF!</definedName>
    <definedName name="calculations">Details!$E$382:$AH$397</definedName>
    <definedName name="capital" localSheetId="4">COGS!#REF!</definedName>
    <definedName name="capital">Details!$E$328:$AH$356</definedName>
    <definedName name="cash" localSheetId="4">COGS!$K$1:$AH$1</definedName>
    <definedName name="cash">Details!$F$6:$AE$45</definedName>
    <definedName name="gross" localSheetId="4">'Summary Statements'!#REF!</definedName>
    <definedName name="gross" localSheetId="8">'Summary Statements'!#REF!</definedName>
    <definedName name="gross" localSheetId="3">'[1]Summary Statements'!#REF!</definedName>
    <definedName name="gross">'Summary Statements'!#REF!</definedName>
    <definedName name="income" localSheetId="4">COGS!#REF!</definedName>
    <definedName name="income" localSheetId="5">Details!$E$81:$AH$167</definedName>
    <definedName name="income" localSheetId="6">'Summary Statements'!$A$6:$G$33</definedName>
    <definedName name="manufacturing" localSheetId="4">COGS!#REF!</definedName>
    <definedName name="manufacturing" localSheetId="8">Details!#REF!</definedName>
    <definedName name="manufacturing" localSheetId="3">[1]Details!#REF!</definedName>
    <definedName name="manufacturing">Details!#REF!</definedName>
    <definedName name="NST01">#REF!</definedName>
    <definedName name="_xlnm.Print_Area" localSheetId="1">Assumptions!$A$19:$L$103</definedName>
    <definedName name="_xlnm.Print_Area" localSheetId="4">COGS!$K$1:$AH$39</definedName>
    <definedName name="_xlnm.Print_Area" localSheetId="5">Details!$F$6:$AH$430</definedName>
    <definedName name="_xlnm.Print_Area" localSheetId="0">Instructions!$A$1:$E$27</definedName>
    <definedName name="_xlnm.Print_Area" localSheetId="6">'Summary Statements'!$A$6:$G$76</definedName>
    <definedName name="_xlnm.Print_Titles" localSheetId="1">Assumptions!$1:$2</definedName>
    <definedName name="_xlnm.Print_Titles" localSheetId="4">COGS!$A:$B</definedName>
    <definedName name="_xlnm.Print_Titles" localSheetId="5">Details!$A:$B</definedName>
    <definedName name="product" localSheetId="4">COGS!$C$3:$AH$39</definedName>
    <definedName name="product">Details!$E$225:$AH$253</definedName>
    <definedName name="sources" localSheetId="4">COGS!#REF!</definedName>
    <definedName name="sources" localSheetId="5">Details!$F$46:$AH$80</definedName>
    <definedName name="sources" localSheetId="6">'Summary Statements'!$A$77:$G$109</definedName>
    <definedName name="staff" localSheetId="4">COGS!#REF!</definedName>
    <definedName name="staff">Details!$E$254:$AH$289</definedName>
  </definedNames>
  <calcPr calcId="162913"/>
</workbook>
</file>

<file path=xl/calcChain.xml><?xml version="1.0" encoding="utf-8"?>
<calcChain xmlns="http://schemas.openxmlformats.org/spreadsheetml/2006/main">
  <c r="G5" i="20" l="1"/>
  <c r="G23" i="20" l="1"/>
  <c r="AA21" i="20"/>
  <c r="AC125" i="4"/>
  <c r="AD125" i="4"/>
  <c r="X125" i="4"/>
  <c r="W125" i="4"/>
  <c r="V125" i="4"/>
  <c r="U125" i="4"/>
  <c r="T125" i="4"/>
  <c r="S125" i="4"/>
  <c r="AB125" i="4"/>
  <c r="AA125" i="4"/>
  <c r="Z125" i="4"/>
  <c r="Y125" i="4"/>
  <c r="AI56" i="19"/>
  <c r="AI57" i="19" s="1"/>
  <c r="H22" i="15"/>
  <c r="G22" i="15"/>
  <c r="F22" i="15"/>
  <c r="E22" i="15"/>
  <c r="D22" i="15"/>
  <c r="H21" i="15"/>
  <c r="G21" i="15"/>
  <c r="F21" i="15"/>
  <c r="E21" i="15"/>
  <c r="D21" i="15"/>
  <c r="H20" i="15"/>
  <c r="G20" i="15"/>
  <c r="F20" i="15"/>
  <c r="E20" i="15"/>
  <c r="D20" i="15"/>
  <c r="H19" i="15"/>
  <c r="G19" i="15"/>
  <c r="F19" i="15"/>
  <c r="E19" i="15"/>
  <c r="D19" i="15"/>
  <c r="G18" i="15"/>
  <c r="E18" i="15"/>
  <c r="F18" i="15"/>
  <c r="E23" i="15"/>
  <c r="D23" i="15"/>
  <c r="D50" i="15" s="1"/>
  <c r="D18" i="15"/>
  <c r="AG53" i="19"/>
  <c r="AH53" i="19" s="1"/>
  <c r="AH57" i="19"/>
  <c r="AH46" i="19" s="1"/>
  <c r="AG63" i="19"/>
  <c r="AG55" i="19" s="1"/>
  <c r="AH55" i="19" s="1"/>
  <c r="AI55" i="19" s="1"/>
  <c r="AJ55" i="19" s="1"/>
  <c r="AK55" i="19" s="1"/>
  <c r="AL55" i="19" s="1"/>
  <c r="AG62" i="19"/>
  <c r="AG54" i="19" s="1"/>
  <c r="AH54" i="19" s="1"/>
  <c r="AI54" i="19" s="1"/>
  <c r="AJ54" i="19" s="1"/>
  <c r="AK54" i="19" s="1"/>
  <c r="AL54" i="19" s="1"/>
  <c r="AL39" i="19"/>
  <c r="AK39" i="19"/>
  <c r="AJ39" i="19"/>
  <c r="AI39" i="19"/>
  <c r="AH39" i="19"/>
  <c r="AH38" i="19"/>
  <c r="AE43" i="19"/>
  <c r="AH36" i="19"/>
  <c r="AI36" i="19" s="1"/>
  <c r="AJ36" i="19" s="1"/>
  <c r="AK36" i="19" s="1"/>
  <c r="AL36" i="19" s="1"/>
  <c r="AL52" i="19" s="1"/>
  <c r="AM39" i="19" l="1"/>
  <c r="AJ52" i="19"/>
  <c r="AK52" i="19"/>
  <c r="AH52" i="19"/>
  <c r="AI52" i="19"/>
  <c r="AJ56" i="19"/>
  <c r="AK56" i="19" s="1"/>
  <c r="AL56" i="19" s="1"/>
  <c r="AL57" i="19" s="1"/>
  <c r="AL46" i="19" s="1"/>
  <c r="AI53" i="19"/>
  <c r="AJ53" i="19" s="1"/>
  <c r="AK53" i="19" s="1"/>
  <c r="AL53" i="19" s="1"/>
  <c r="AI46" i="19"/>
  <c r="I38" i="21"/>
  <c r="E37" i="21"/>
  <c r="F37" i="21" s="1"/>
  <c r="G37" i="21" s="1"/>
  <c r="H37" i="21" s="1"/>
  <c r="I37" i="21" s="1"/>
  <c r="H38" i="21"/>
  <c r="G38" i="21"/>
  <c r="F38" i="21"/>
  <c r="E38" i="21"/>
  <c r="D38" i="21"/>
  <c r="E32" i="21"/>
  <c r="D5" i="22"/>
  <c r="E5" i="22" s="1"/>
  <c r="C26" i="22" s="1"/>
  <c r="D6" i="22"/>
  <c r="F19" i="22" s="1"/>
  <c r="F24" i="22" s="1"/>
  <c r="F13" i="21"/>
  <c r="F15" i="21"/>
  <c r="AA36" i="19"/>
  <c r="Z36" i="19"/>
  <c r="Y36" i="19"/>
  <c r="X36" i="19"/>
  <c r="W36" i="19"/>
  <c r="V36" i="19"/>
  <c r="U36" i="19"/>
  <c r="T36" i="19"/>
  <c r="S36" i="19"/>
  <c r="R36" i="19"/>
  <c r="Q36" i="19"/>
  <c r="P36" i="19"/>
  <c r="O36" i="19"/>
  <c r="N36" i="19"/>
  <c r="M36" i="19"/>
  <c r="L36" i="19"/>
  <c r="K36" i="19"/>
  <c r="J36" i="19"/>
  <c r="I36" i="19"/>
  <c r="H36" i="19"/>
  <c r="G36" i="19"/>
  <c r="F36" i="19"/>
  <c r="E36" i="19"/>
  <c r="D36" i="19"/>
  <c r="B24" i="22"/>
  <c r="R23" i="22"/>
  <c r="S23" i="22" s="1"/>
  <c r="T23" i="22" s="1"/>
  <c r="O22" i="22"/>
  <c r="L21" i="22"/>
  <c r="M21" i="22" s="1"/>
  <c r="I20" i="22"/>
  <c r="E10" i="22"/>
  <c r="R26" i="22" s="1"/>
  <c r="E9" i="22"/>
  <c r="O26" i="22" s="1"/>
  <c r="E8" i="22"/>
  <c r="L26" i="22" s="1"/>
  <c r="L25" i="22" s="1"/>
  <c r="E7" i="22"/>
  <c r="I26" i="22" s="1"/>
  <c r="D37" i="21" l="1"/>
  <c r="AJ57" i="19"/>
  <c r="AJ46" i="19" s="1"/>
  <c r="AK57" i="19"/>
  <c r="AK46" i="19" s="1"/>
  <c r="F18" i="21"/>
  <c r="E34" i="21"/>
  <c r="G40" i="21" s="1"/>
  <c r="E33" i="21"/>
  <c r="D40" i="21" s="1"/>
  <c r="F14" i="21"/>
  <c r="E15" i="21"/>
  <c r="E17" i="21" s="1"/>
  <c r="E6" i="22"/>
  <c r="F26" i="22" s="1"/>
  <c r="F25" i="22" s="1"/>
  <c r="D11" i="22"/>
  <c r="C18" i="22"/>
  <c r="C25" i="22" s="1"/>
  <c r="I25" i="22"/>
  <c r="J20" i="22"/>
  <c r="N21" i="22"/>
  <c r="O25" i="22"/>
  <c r="P22" i="22"/>
  <c r="D18" i="22" l="1"/>
  <c r="D15" i="22" s="1"/>
  <c r="H16" i="22"/>
  <c r="G19" i="22"/>
  <c r="J19" i="22" s="1"/>
  <c r="E11" i="22"/>
  <c r="S22" i="22"/>
  <c r="T22" i="22" s="1"/>
  <c r="Q22" i="22"/>
  <c r="P21" i="22"/>
  <c r="J16" i="22"/>
  <c r="M20" i="22"/>
  <c r="K20" i="22"/>
  <c r="D17" i="22" l="1"/>
  <c r="G17" i="22" s="1"/>
  <c r="E18" i="22"/>
  <c r="G18" i="22"/>
  <c r="H18" i="22" s="1"/>
  <c r="H19" i="22"/>
  <c r="E17" i="22"/>
  <c r="K19" i="22"/>
  <c r="M19" i="22"/>
  <c r="Q21" i="22"/>
  <c r="S21" i="22"/>
  <c r="T21" i="22" s="1"/>
  <c r="K16" i="22"/>
  <c r="M16" i="22"/>
  <c r="E15" i="22"/>
  <c r="G15" i="22"/>
  <c r="N20" i="22"/>
  <c r="P20" i="22"/>
  <c r="D24" i="22" l="1"/>
  <c r="E24" i="22"/>
  <c r="J18" i="22"/>
  <c r="M18" i="22" s="1"/>
  <c r="P16" i="22"/>
  <c r="N16" i="22"/>
  <c r="P19" i="22"/>
  <c r="N19" i="22"/>
  <c r="G24" i="22"/>
  <c r="J15" i="22"/>
  <c r="H15" i="22"/>
  <c r="J17" i="22"/>
  <c r="H17" i="22"/>
  <c r="S20" i="22"/>
  <c r="T20" i="22" s="1"/>
  <c r="Q20" i="22"/>
  <c r="K18" i="22" l="1"/>
  <c r="H24" i="22"/>
  <c r="Q19" i="22"/>
  <c r="S19" i="22"/>
  <c r="T19" i="22" s="1"/>
  <c r="K15" i="22"/>
  <c r="K24" i="22" s="1"/>
  <c r="J24" i="22"/>
  <c r="M15" i="22"/>
  <c r="K17" i="22"/>
  <c r="M17" i="22"/>
  <c r="N18" i="22"/>
  <c r="P18" i="22"/>
  <c r="S16" i="22"/>
  <c r="T16" i="22" s="1"/>
  <c r="Q16" i="22"/>
  <c r="P17" i="22" l="1"/>
  <c r="N17" i="22"/>
  <c r="S18" i="22"/>
  <c r="T18" i="22" s="1"/>
  <c r="Q18" i="22"/>
  <c r="M24" i="22"/>
  <c r="P15" i="22"/>
  <c r="N15" i="22"/>
  <c r="N24" i="22" s="1"/>
  <c r="Q15" i="22" l="1"/>
  <c r="Q24" i="22" s="1"/>
  <c r="S15" i="22"/>
  <c r="P24" i="22"/>
  <c r="Q17" i="22"/>
  <c r="S17" i="22"/>
  <c r="T17" i="22" s="1"/>
  <c r="S24" i="22" l="1"/>
  <c r="T15" i="22"/>
  <c r="T24" i="22" s="1"/>
  <c r="E7" i="21"/>
  <c r="F7" i="21" s="1"/>
  <c r="G7" i="21" s="1"/>
  <c r="H7" i="21" s="1"/>
  <c r="I7" i="21" s="1"/>
  <c r="B38" i="19"/>
  <c r="AE38" i="19" s="1"/>
  <c r="O38" i="19"/>
  <c r="N38" i="19"/>
  <c r="M38" i="19"/>
  <c r="L38" i="19"/>
  <c r="K38" i="19"/>
  <c r="J38" i="19"/>
  <c r="I38" i="19"/>
  <c r="H38" i="19"/>
  <c r="G38" i="19"/>
  <c r="F38" i="19"/>
  <c r="E38" i="19"/>
  <c r="D38" i="19"/>
  <c r="AH134" i="4"/>
  <c r="AG134" i="4"/>
  <c r="AF134" i="4"/>
  <c r="AH126" i="4"/>
  <c r="AF100" i="4"/>
  <c r="AG100" i="4" s="1"/>
  <c r="AH100" i="4" s="1"/>
  <c r="T260" i="4"/>
  <c r="U260" i="4" s="1"/>
  <c r="V260" i="4" s="1"/>
  <c r="W260" i="4" s="1"/>
  <c r="X260" i="4" s="1"/>
  <c r="Y260" i="4" s="1"/>
  <c r="Z260" i="4" s="1"/>
  <c r="AA260" i="4" s="1"/>
  <c r="AB260" i="4" s="1"/>
  <c r="AC260" i="4" s="1"/>
  <c r="AD260" i="4" s="1"/>
  <c r="T261" i="4"/>
  <c r="U261" i="4" s="1"/>
  <c r="V261" i="4" s="1"/>
  <c r="W261" i="4" s="1"/>
  <c r="X261" i="4" s="1"/>
  <c r="Y261" i="4" s="1"/>
  <c r="Z261" i="4" s="1"/>
  <c r="AA261" i="4" s="1"/>
  <c r="AB261" i="4" s="1"/>
  <c r="AC261" i="4" s="1"/>
  <c r="AD261" i="4" s="1"/>
  <c r="T262" i="4"/>
  <c r="U262" i="4"/>
  <c r="V262" i="4" s="1"/>
  <c r="W262" i="4" s="1"/>
  <c r="X262" i="4" s="1"/>
  <c r="Y262" i="4" s="1"/>
  <c r="Z262" i="4" s="1"/>
  <c r="AA262" i="4" s="1"/>
  <c r="AB262" i="4" s="1"/>
  <c r="AC262" i="4" s="1"/>
  <c r="S263" i="4"/>
  <c r="T263" i="4" s="1"/>
  <c r="U263" i="4" s="1"/>
  <c r="V263" i="4" s="1"/>
  <c r="W263" i="4" s="1"/>
  <c r="X263" i="4" s="1"/>
  <c r="Y263" i="4" s="1"/>
  <c r="Z263" i="4" s="1"/>
  <c r="AA263" i="4" s="1"/>
  <c r="AB263" i="4" s="1"/>
  <c r="AC263" i="4" s="1"/>
  <c r="AD263" i="4" s="1"/>
  <c r="S264" i="4"/>
  <c r="T264" i="4" s="1"/>
  <c r="U264" i="4" s="1"/>
  <c r="V264" i="4" s="1"/>
  <c r="W264" i="4" s="1"/>
  <c r="X264" i="4" s="1"/>
  <c r="Y264" i="4" s="1"/>
  <c r="Z264" i="4" s="1"/>
  <c r="AA264" i="4" s="1"/>
  <c r="AB264" i="4" s="1"/>
  <c r="AC264" i="4" s="1"/>
  <c r="AD264" i="4" s="1"/>
  <c r="S265" i="4"/>
  <c r="T265" i="4"/>
  <c r="U265" i="4" s="1"/>
  <c r="V265" i="4" s="1"/>
  <c r="W265" i="4" s="1"/>
  <c r="X265" i="4" s="1"/>
  <c r="Y265" i="4" s="1"/>
  <c r="Z265" i="4" s="1"/>
  <c r="AA265" i="4" s="1"/>
  <c r="AB265" i="4" s="1"/>
  <c r="AC265" i="4" s="1"/>
  <c r="AD265" i="4" s="1"/>
  <c r="S266" i="4"/>
  <c r="T266" i="4"/>
  <c r="U266" i="4" s="1"/>
  <c r="V266" i="4" s="1"/>
  <c r="W266" i="4" s="1"/>
  <c r="X266" i="4" s="1"/>
  <c r="Y266" i="4" s="1"/>
  <c r="Z266" i="4" s="1"/>
  <c r="AA266" i="4" s="1"/>
  <c r="AB266" i="4" s="1"/>
  <c r="AC266" i="4" s="1"/>
  <c r="AD266" i="4" s="1"/>
  <c r="L280" i="4"/>
  <c r="M280" i="4" s="1"/>
  <c r="N280" i="4" s="1"/>
  <c r="O280" i="4" s="1"/>
  <c r="P280" i="4" s="1"/>
  <c r="Q280" i="4" s="1"/>
  <c r="Q100" i="4"/>
  <c r="P100" i="4"/>
  <c r="O100" i="4"/>
  <c r="N100" i="4"/>
  <c r="M100" i="4"/>
  <c r="L100" i="4"/>
  <c r="AD100" i="4"/>
  <c r="AC100" i="4"/>
  <c r="AB100" i="4"/>
  <c r="AA100" i="4"/>
  <c r="Z100" i="4"/>
  <c r="Y100" i="4"/>
  <c r="X100" i="4"/>
  <c r="W100" i="4"/>
  <c r="V100" i="4"/>
  <c r="U100" i="4"/>
  <c r="T100" i="4"/>
  <c r="S100" i="4"/>
  <c r="M36" i="20"/>
  <c r="AC27" i="20"/>
  <c r="AC28" i="20"/>
  <c r="AC29" i="20"/>
  <c r="G239" i="4"/>
  <c r="H239" i="4" s="1"/>
  <c r="I239" i="4" s="1"/>
  <c r="J239" i="4" s="1"/>
  <c r="K239" i="4" s="1"/>
  <c r="L239" i="4" s="1"/>
  <c r="M239" i="4" s="1"/>
  <c r="N239" i="4" s="1"/>
  <c r="O239" i="4" s="1"/>
  <c r="P239" i="4" s="1"/>
  <c r="Q239" i="4" s="1"/>
  <c r="S239" i="4" s="1"/>
  <c r="U239" i="4" s="1"/>
  <c r="W239" i="4" s="1"/>
  <c r="Y239" i="4" s="1"/>
  <c r="AA239" i="4" s="1"/>
  <c r="AC239" i="4" s="1"/>
  <c r="U12" i="15"/>
  <c r="B315" i="4" l="1"/>
  <c r="B310" i="4"/>
  <c r="B311" i="4"/>
  <c r="K125" i="4" l="1"/>
  <c r="M125" i="4" s="1"/>
  <c r="N125" i="4" s="1"/>
  <c r="N30" i="15"/>
  <c r="M30" i="15"/>
  <c r="L30" i="15"/>
  <c r="N29" i="15"/>
  <c r="M29" i="15"/>
  <c r="L29" i="15"/>
  <c r="N28" i="15"/>
  <c r="M28" i="15"/>
  <c r="L28" i="15"/>
  <c r="N27" i="15"/>
  <c r="M27" i="15"/>
  <c r="L27" i="15"/>
  <c r="N26" i="15"/>
  <c r="M26" i="15"/>
  <c r="L26" i="15"/>
  <c r="H37" i="20"/>
  <c r="G37" i="20"/>
  <c r="J36" i="20"/>
  <c r="I35" i="20"/>
  <c r="I37" i="20" s="1"/>
  <c r="I19" i="20" s="1"/>
  <c r="J31" i="20"/>
  <c r="I31" i="20"/>
  <c r="H31" i="20"/>
  <c r="AA27" i="20"/>
  <c r="J26" i="20"/>
  <c r="I26" i="20"/>
  <c r="H26" i="20"/>
  <c r="J25" i="20"/>
  <c r="I25" i="20"/>
  <c r="H25" i="20"/>
  <c r="AA24" i="20"/>
  <c r="AC24" i="20" s="1"/>
  <c r="G24" i="20" s="1"/>
  <c r="J22" i="20"/>
  <c r="I22" i="20"/>
  <c r="H22" i="20"/>
  <c r="G22" i="20"/>
  <c r="H19" i="20"/>
  <c r="G19" i="20"/>
  <c r="J13" i="20"/>
  <c r="J14" i="20" s="1"/>
  <c r="I13" i="20"/>
  <c r="I14" i="20" s="1"/>
  <c r="H13" i="20"/>
  <c r="H14" i="20" s="1"/>
  <c r="G10" i="20"/>
  <c r="J5" i="20"/>
  <c r="I5" i="20"/>
  <c r="T18" i="15"/>
  <c r="U18" i="15" s="1"/>
  <c r="Q18" i="15"/>
  <c r="R18" i="15" s="1"/>
  <c r="P18" i="15"/>
  <c r="L22" i="15"/>
  <c r="M22" i="15" s="1"/>
  <c r="N22" i="15" s="1"/>
  <c r="O22" i="15" s="1"/>
  <c r="P22" i="15" s="1"/>
  <c r="Q22" i="15" s="1"/>
  <c r="R22" i="15" s="1"/>
  <c r="S22" i="15" s="1"/>
  <c r="T22" i="15" s="1"/>
  <c r="U22" i="15" s="1"/>
  <c r="V22" i="15" s="1"/>
  <c r="W22" i="15" s="1"/>
  <c r="X22" i="15" s="1"/>
  <c r="Y22" i="15" s="1"/>
  <c r="Z22" i="15" s="1"/>
  <c r="AA22" i="15" s="1"/>
  <c r="AB22" i="15" s="1"/>
  <c r="AC22" i="15" s="1"/>
  <c r="AD22" i="15" s="1"/>
  <c r="AE22" i="15" s="1"/>
  <c r="AF22" i="15" s="1"/>
  <c r="AG22" i="15" s="1"/>
  <c r="AH22" i="15" s="1"/>
  <c r="AI22" i="15" s="1"/>
  <c r="AJ22" i="15" s="1"/>
  <c r="AK22" i="15" s="1"/>
  <c r="AL22" i="15" s="1"/>
  <c r="AM22" i="15" s="1"/>
  <c r="AN22" i="15" s="1"/>
  <c r="AO22" i="15" s="1"/>
  <c r="AP22" i="15" s="1"/>
  <c r="AQ22" i="15" s="1"/>
  <c r="AR22" i="15" s="1"/>
  <c r="AS22" i="15" s="1"/>
  <c r="AT22" i="15" s="1"/>
  <c r="AU22" i="15" s="1"/>
  <c r="AV22" i="15" s="1"/>
  <c r="AW22" i="15" s="1"/>
  <c r="AX22" i="15" s="1"/>
  <c r="AY22" i="15" s="1"/>
  <c r="AZ22" i="15" s="1"/>
  <c r="BA22" i="15" s="1"/>
  <c r="BB22" i="15" s="1"/>
  <c r="BC22" i="15" s="1"/>
  <c r="BD22" i="15" s="1"/>
  <c r="BE22" i="15" s="1"/>
  <c r="BF22" i="15" s="1"/>
  <c r="BG22" i="15" s="1"/>
  <c r="BH22" i="15" s="1"/>
  <c r="BI22" i="15" s="1"/>
  <c r="BJ22" i="15" s="1"/>
  <c r="BK22" i="15" s="1"/>
  <c r="BL22" i="15" s="1"/>
  <c r="BM22" i="15" s="1"/>
  <c r="BN22" i="15" s="1"/>
  <c r="BO22" i="15" s="1"/>
  <c r="BP22" i="15" s="1"/>
  <c r="BQ22" i="15" s="1"/>
  <c r="BR22" i="15" s="1"/>
  <c r="BS22" i="15" s="1"/>
  <c r="L21" i="15"/>
  <c r="M21" i="15" s="1"/>
  <c r="N21" i="15" s="1"/>
  <c r="O21" i="15" s="1"/>
  <c r="P21" i="15" s="1"/>
  <c r="Q21" i="15" s="1"/>
  <c r="R21" i="15" s="1"/>
  <c r="S21" i="15" s="1"/>
  <c r="T21" i="15" s="1"/>
  <c r="U21" i="15" s="1"/>
  <c r="V21" i="15" s="1"/>
  <c r="W21" i="15" s="1"/>
  <c r="X21" i="15" s="1"/>
  <c r="Y21" i="15" s="1"/>
  <c r="Z21" i="15" s="1"/>
  <c r="AA21" i="15" s="1"/>
  <c r="AB21" i="15" s="1"/>
  <c r="AC21" i="15" s="1"/>
  <c r="AD21" i="15" s="1"/>
  <c r="AE21" i="15" s="1"/>
  <c r="AF21" i="15" s="1"/>
  <c r="AG21" i="15" s="1"/>
  <c r="AH21" i="15" s="1"/>
  <c r="AI21" i="15" s="1"/>
  <c r="AJ21" i="15" s="1"/>
  <c r="AK21" i="15" s="1"/>
  <c r="AL21" i="15" s="1"/>
  <c r="AM21" i="15" s="1"/>
  <c r="AN21" i="15" s="1"/>
  <c r="AO21" i="15" s="1"/>
  <c r="AP21" i="15" s="1"/>
  <c r="AQ21" i="15" s="1"/>
  <c r="AR21" i="15" s="1"/>
  <c r="AS21" i="15" s="1"/>
  <c r="AT21" i="15" s="1"/>
  <c r="AU21" i="15" s="1"/>
  <c r="AV21" i="15" s="1"/>
  <c r="AW21" i="15" s="1"/>
  <c r="AX21" i="15" s="1"/>
  <c r="AY21" i="15" s="1"/>
  <c r="AZ21" i="15" s="1"/>
  <c r="BA21" i="15" s="1"/>
  <c r="BB21" i="15" s="1"/>
  <c r="BC21" i="15" s="1"/>
  <c r="BD21" i="15" s="1"/>
  <c r="BE21" i="15" s="1"/>
  <c r="BF21" i="15" s="1"/>
  <c r="BG21" i="15" s="1"/>
  <c r="BH21" i="15" s="1"/>
  <c r="BI21" i="15" s="1"/>
  <c r="BJ21" i="15" s="1"/>
  <c r="BK21" i="15" s="1"/>
  <c r="BL21" i="15" s="1"/>
  <c r="BM21" i="15" s="1"/>
  <c r="BN21" i="15" s="1"/>
  <c r="BO21" i="15" s="1"/>
  <c r="BP21" i="15" s="1"/>
  <c r="BQ21" i="15" s="1"/>
  <c r="BR21" i="15" s="1"/>
  <c r="BS21" i="15" s="1"/>
  <c r="L20" i="15"/>
  <c r="M20" i="15" s="1"/>
  <c r="N20" i="15" s="1"/>
  <c r="O20" i="15" s="1"/>
  <c r="P20" i="15" s="1"/>
  <c r="Q20" i="15" s="1"/>
  <c r="R20" i="15" s="1"/>
  <c r="S20" i="15" s="1"/>
  <c r="T20" i="15" s="1"/>
  <c r="U20" i="15" s="1"/>
  <c r="V20" i="15" s="1"/>
  <c r="W20" i="15" s="1"/>
  <c r="X20" i="15" s="1"/>
  <c r="Y20" i="15" s="1"/>
  <c r="Z20" i="15" s="1"/>
  <c r="AA20" i="15" s="1"/>
  <c r="AB20" i="15" s="1"/>
  <c r="AC20" i="15" s="1"/>
  <c r="AD20" i="15" s="1"/>
  <c r="AE20" i="15" s="1"/>
  <c r="AF20" i="15" s="1"/>
  <c r="AG20" i="15" s="1"/>
  <c r="AH20" i="15" s="1"/>
  <c r="AI20" i="15" s="1"/>
  <c r="AJ20" i="15" s="1"/>
  <c r="AK20" i="15" s="1"/>
  <c r="AL20" i="15" s="1"/>
  <c r="AM20" i="15" s="1"/>
  <c r="AN20" i="15" s="1"/>
  <c r="AO20" i="15" s="1"/>
  <c r="AP20" i="15" s="1"/>
  <c r="AQ20" i="15" s="1"/>
  <c r="AR20" i="15" s="1"/>
  <c r="AS20" i="15" s="1"/>
  <c r="AT20" i="15" s="1"/>
  <c r="AU20" i="15" s="1"/>
  <c r="AW20" i="15" s="1"/>
  <c r="AX20" i="15" s="1"/>
  <c r="AY20" i="15" s="1"/>
  <c r="AZ20" i="15" s="1"/>
  <c r="BA20" i="15" s="1"/>
  <c r="BB20" i="15" s="1"/>
  <c r="BC20" i="15" s="1"/>
  <c r="BD20" i="15" s="1"/>
  <c r="BE20" i="15" s="1"/>
  <c r="BF20" i="15" s="1"/>
  <c r="BG20" i="15" s="1"/>
  <c r="BH20" i="15" s="1"/>
  <c r="BI20" i="15" s="1"/>
  <c r="BJ20" i="15" s="1"/>
  <c r="BK20" i="15" s="1"/>
  <c r="BL20" i="15" s="1"/>
  <c r="BM20" i="15" s="1"/>
  <c r="BN20" i="15" s="1"/>
  <c r="BO20" i="15" s="1"/>
  <c r="BP20" i="15" s="1"/>
  <c r="BQ20" i="15" s="1"/>
  <c r="BR20" i="15" s="1"/>
  <c r="BS20" i="15" s="1"/>
  <c r="L19" i="15"/>
  <c r="M19" i="15" s="1"/>
  <c r="N19" i="15" s="1"/>
  <c r="O19" i="15" s="1"/>
  <c r="P19" i="15" s="1"/>
  <c r="Q19" i="15" s="1"/>
  <c r="R19" i="15" s="1"/>
  <c r="S19" i="15" s="1"/>
  <c r="T19" i="15" s="1"/>
  <c r="U19" i="15" s="1"/>
  <c r="V19" i="15" s="1"/>
  <c r="W19" i="15" s="1"/>
  <c r="X19" i="15" s="1"/>
  <c r="Y19" i="15" s="1"/>
  <c r="Z19" i="15" s="1"/>
  <c r="AA19" i="15" s="1"/>
  <c r="AB19" i="15" s="1"/>
  <c r="AC19" i="15" s="1"/>
  <c r="AD19" i="15" s="1"/>
  <c r="AE19" i="15" s="1"/>
  <c r="AF19" i="15" s="1"/>
  <c r="AG19" i="15" s="1"/>
  <c r="AH19" i="15" s="1"/>
  <c r="AI19" i="15" s="1"/>
  <c r="AK19" i="15" s="1"/>
  <c r="AL19" i="15" s="1"/>
  <c r="AM19" i="15" s="1"/>
  <c r="AN19" i="15" s="1"/>
  <c r="AO19" i="15" s="1"/>
  <c r="AP19" i="15" s="1"/>
  <c r="AQ19" i="15" s="1"/>
  <c r="AR19" i="15" s="1"/>
  <c r="AS19" i="15" s="1"/>
  <c r="AT19" i="15" s="1"/>
  <c r="AU19" i="15" s="1"/>
  <c r="AV19" i="15" s="1"/>
  <c r="AW19" i="15" s="1"/>
  <c r="AX19" i="15" s="1"/>
  <c r="AY19" i="15" s="1"/>
  <c r="AZ19" i="15" s="1"/>
  <c r="BA19" i="15" s="1"/>
  <c r="BB19" i="15" s="1"/>
  <c r="BC19" i="15" s="1"/>
  <c r="BD19" i="15" s="1"/>
  <c r="BE19" i="15" s="1"/>
  <c r="BF19" i="15" s="1"/>
  <c r="BG19" i="15" s="1"/>
  <c r="BH19" i="15" s="1"/>
  <c r="BI19" i="15" s="1"/>
  <c r="BJ19" i="15" s="1"/>
  <c r="BK19" i="15" s="1"/>
  <c r="BL19" i="15" s="1"/>
  <c r="BM19" i="15" s="1"/>
  <c r="BN19" i="15" s="1"/>
  <c r="BO19" i="15" s="1"/>
  <c r="BP19" i="15" s="1"/>
  <c r="BQ19" i="15" s="1"/>
  <c r="BR19" i="15" s="1"/>
  <c r="BS19" i="15" s="1"/>
  <c r="L18" i="15"/>
  <c r="M18" i="15" s="1"/>
  <c r="N18" i="15" s="1"/>
  <c r="X18" i="15" s="1"/>
  <c r="Y18" i="15" s="1"/>
  <c r="Z18" i="15" s="1"/>
  <c r="AA18" i="15" s="1"/>
  <c r="AB18" i="15" s="1"/>
  <c r="AC18" i="15" s="1"/>
  <c r="AD18" i="15" s="1"/>
  <c r="AE18" i="15" s="1"/>
  <c r="AF18" i="15" s="1"/>
  <c r="AG18" i="15" s="1"/>
  <c r="AH18" i="15" s="1"/>
  <c r="AI18" i="15" s="1"/>
  <c r="AJ18" i="15" s="1"/>
  <c r="AK18" i="15" s="1"/>
  <c r="AL18" i="15" s="1"/>
  <c r="AM18" i="15" s="1"/>
  <c r="AN18" i="15" s="1"/>
  <c r="AO18" i="15" s="1"/>
  <c r="AP18" i="15" s="1"/>
  <c r="AQ18" i="15" s="1"/>
  <c r="AR18" i="15" s="1"/>
  <c r="AS18" i="15" s="1"/>
  <c r="AT18" i="15" s="1"/>
  <c r="AU18" i="15" s="1"/>
  <c r="AV18" i="15" s="1"/>
  <c r="AW18" i="15" s="1"/>
  <c r="AX18" i="15" s="1"/>
  <c r="AY18" i="15" s="1"/>
  <c r="AZ18" i="15" s="1"/>
  <c r="BA18" i="15" s="1"/>
  <c r="BB18" i="15" s="1"/>
  <c r="BC18" i="15" s="1"/>
  <c r="BD18" i="15" s="1"/>
  <c r="BE18" i="15" s="1"/>
  <c r="BF18" i="15" s="1"/>
  <c r="BG18" i="15" s="1"/>
  <c r="BH18" i="15" s="1"/>
  <c r="BI18" i="15" s="1"/>
  <c r="BJ18" i="15" s="1"/>
  <c r="BK18" i="15" s="1"/>
  <c r="BL18" i="15" s="1"/>
  <c r="BM18" i="15" s="1"/>
  <c r="BN18" i="15" s="1"/>
  <c r="BO18" i="15" s="1"/>
  <c r="BP18" i="15" s="1"/>
  <c r="BQ18" i="15" s="1"/>
  <c r="BR18" i="15" s="1"/>
  <c r="BS18" i="15" s="1"/>
  <c r="F11" i="4"/>
  <c r="H11" i="20" l="1"/>
  <c r="H10" i="20" s="1"/>
  <c r="I11" i="20"/>
  <c r="I10" i="20" s="1"/>
  <c r="J11" i="20"/>
  <c r="J10" i="20" s="1"/>
  <c r="AB28" i="20"/>
  <c r="AB29" i="20"/>
  <c r="AE29" i="20" s="1"/>
  <c r="H27" i="20" s="1"/>
  <c r="AB27" i="20"/>
  <c r="AE27" i="20" s="1"/>
  <c r="J24" i="20"/>
  <c r="I24" i="20"/>
  <c r="H24" i="20"/>
  <c r="H23" i="20"/>
  <c r="I23" i="20"/>
  <c r="J35" i="20"/>
  <c r="J37" i="20" s="1"/>
  <c r="J19" i="20" s="1"/>
  <c r="AE28" i="20"/>
  <c r="I27" i="20" s="1"/>
  <c r="J23" i="20"/>
  <c r="J27" i="20" l="1"/>
  <c r="G27" i="20" s="1"/>
  <c r="H29" i="20"/>
  <c r="H17" i="20" s="1"/>
  <c r="I29" i="20"/>
  <c r="I17" i="20" s="1"/>
  <c r="J29" i="20" l="1"/>
  <c r="J17" i="20" s="1"/>
  <c r="I30" i="20"/>
  <c r="I32" i="20" s="1"/>
  <c r="I18" i="20" s="1"/>
  <c r="I20" i="20" s="1"/>
  <c r="H30" i="20"/>
  <c r="H32" i="20" s="1"/>
  <c r="H18" i="20" s="1"/>
  <c r="H20" i="20" s="1"/>
  <c r="G29" i="20"/>
  <c r="G17" i="20" s="1"/>
  <c r="J30" i="20" l="1"/>
  <c r="J32" i="20" s="1"/>
  <c r="J18" i="20" s="1"/>
  <c r="J20" i="20" s="1"/>
  <c r="G30" i="20"/>
  <c r="G32" i="20" s="1"/>
  <c r="G18" i="20" s="1"/>
  <c r="G20" i="20" s="1"/>
  <c r="W28" i="20" s="1"/>
  <c r="T30" i="15" l="1"/>
  <c r="P30" i="15"/>
  <c r="T29" i="15"/>
  <c r="P29" i="15"/>
  <c r="T28" i="15"/>
  <c r="P28" i="15"/>
  <c r="T27" i="15"/>
  <c r="P27" i="15"/>
  <c r="T26" i="15"/>
  <c r="P26" i="15"/>
  <c r="U28" i="15"/>
  <c r="Q27" i="15"/>
  <c r="Q26" i="15"/>
  <c r="W30" i="15"/>
  <c r="S30" i="15"/>
  <c r="O30" i="15"/>
  <c r="W29" i="15"/>
  <c r="S29" i="15"/>
  <c r="O29" i="15"/>
  <c r="W28" i="15"/>
  <c r="S28" i="15"/>
  <c r="O28" i="15"/>
  <c r="W27" i="15"/>
  <c r="S27" i="15"/>
  <c r="O27" i="15"/>
  <c r="W26" i="15"/>
  <c r="S26" i="15"/>
  <c r="O26" i="15"/>
  <c r="Q30" i="15"/>
  <c r="Q29" i="15"/>
  <c r="Q28" i="15"/>
  <c r="V30" i="15"/>
  <c r="R30" i="15"/>
  <c r="V29" i="15"/>
  <c r="R29" i="15"/>
  <c r="V28" i="15"/>
  <c r="R28" i="15"/>
  <c r="V27" i="15"/>
  <c r="R27" i="15"/>
  <c r="V26" i="15"/>
  <c r="R26" i="15"/>
  <c r="U30" i="15"/>
  <c r="U29" i="15"/>
  <c r="U27" i="15"/>
  <c r="U26" i="15"/>
  <c r="D7" i="19"/>
  <c r="E7" i="19" s="1"/>
  <c r="F7" i="19" s="1"/>
  <c r="G7" i="19" s="1"/>
  <c r="H7" i="19" s="1"/>
  <c r="K55" i="17"/>
  <c r="K53" i="17"/>
  <c r="AD36" i="17"/>
  <c r="D30" i="15" l="1"/>
  <c r="D28" i="15"/>
  <c r="D26" i="15"/>
  <c r="D29" i="15"/>
  <c r="D27" i="15"/>
  <c r="L43" i="15" l="1"/>
  <c r="M43" i="15"/>
  <c r="N43" i="15"/>
  <c r="O43" i="15"/>
  <c r="P43" i="15"/>
  <c r="Q43" i="15"/>
  <c r="R43" i="15"/>
  <c r="S43" i="15"/>
  <c r="T43" i="15"/>
  <c r="U43" i="15"/>
  <c r="V43" i="15"/>
  <c r="W43" i="15"/>
  <c r="L44" i="15"/>
  <c r="M44" i="15"/>
  <c r="N44" i="15"/>
  <c r="O44" i="15"/>
  <c r="P44" i="15"/>
  <c r="Q44" i="15"/>
  <c r="R44" i="15"/>
  <c r="S44" i="15"/>
  <c r="T44" i="15"/>
  <c r="U44" i="15"/>
  <c r="V44" i="15"/>
  <c r="W44" i="15"/>
  <c r="L45" i="15"/>
  <c r="M45" i="15"/>
  <c r="N45" i="15"/>
  <c r="O45" i="15"/>
  <c r="P45" i="15"/>
  <c r="Q45" i="15"/>
  <c r="R45" i="15"/>
  <c r="S45" i="15"/>
  <c r="T45" i="15"/>
  <c r="U45" i="15"/>
  <c r="V45" i="15"/>
  <c r="W45" i="15"/>
  <c r="L46" i="15"/>
  <c r="M46" i="15"/>
  <c r="N46" i="15"/>
  <c r="O46" i="15"/>
  <c r="P46" i="15"/>
  <c r="Q46" i="15"/>
  <c r="R46" i="15"/>
  <c r="S46" i="15"/>
  <c r="T46" i="15"/>
  <c r="U46" i="15"/>
  <c r="V46" i="15"/>
  <c r="W46" i="15"/>
  <c r="L47" i="15"/>
  <c r="M47" i="15"/>
  <c r="N47" i="15"/>
  <c r="O47" i="15"/>
  <c r="P47" i="15"/>
  <c r="Q47" i="15"/>
  <c r="R47" i="15"/>
  <c r="S47" i="15"/>
  <c r="T47" i="15"/>
  <c r="U47" i="15"/>
  <c r="V47" i="15"/>
  <c r="W47" i="15"/>
  <c r="E47" i="15"/>
  <c r="F47" i="15" s="1"/>
  <c r="G47" i="15" s="1"/>
  <c r="H47" i="15" s="1"/>
  <c r="BH47" i="15" s="1"/>
  <c r="E46" i="15"/>
  <c r="F46" i="15" s="1"/>
  <c r="G46" i="15" s="1"/>
  <c r="E45" i="15"/>
  <c r="F45" i="15" s="1"/>
  <c r="G45" i="15" s="1"/>
  <c r="H45" i="15" s="1"/>
  <c r="BJ45" i="15" s="1"/>
  <c r="E44" i="15"/>
  <c r="F44" i="15" s="1"/>
  <c r="G44" i="15" s="1"/>
  <c r="H44" i="15" s="1"/>
  <c r="BK44" i="15" s="1"/>
  <c r="E43" i="15"/>
  <c r="F43" i="15" s="1"/>
  <c r="G43" i="15" s="1"/>
  <c r="H43" i="15" s="1"/>
  <c r="BH43" i="15" s="1"/>
  <c r="D40" i="15"/>
  <c r="D3" i="15"/>
  <c r="E3" i="15" s="1"/>
  <c r="F3" i="15" s="1"/>
  <c r="G3" i="15" s="1"/>
  <c r="H3" i="15" s="1"/>
  <c r="L40" i="15"/>
  <c r="M40" i="15" s="1"/>
  <c r="N40" i="15" s="1"/>
  <c r="O40" i="15" s="1"/>
  <c r="P40" i="15" s="1"/>
  <c r="Q40" i="15" s="1"/>
  <c r="R40" i="15" s="1"/>
  <c r="S40" i="15" s="1"/>
  <c r="T40" i="15" s="1"/>
  <c r="U40" i="15" s="1"/>
  <c r="V40" i="15" s="1"/>
  <c r="W40" i="15" s="1"/>
  <c r="X40" i="15" s="1"/>
  <c r="Y40" i="15" s="1"/>
  <c r="Z40" i="15" s="1"/>
  <c r="AA40" i="15" s="1"/>
  <c r="AB40" i="15" s="1"/>
  <c r="AC40" i="15" s="1"/>
  <c r="AD40" i="15" s="1"/>
  <c r="AE40" i="15" s="1"/>
  <c r="AF40" i="15" s="1"/>
  <c r="AG40" i="15" s="1"/>
  <c r="AH40" i="15" s="1"/>
  <c r="AI40" i="15" s="1"/>
  <c r="AJ40" i="15" s="1"/>
  <c r="AK40" i="15" s="1"/>
  <c r="AL40" i="15" s="1"/>
  <c r="AM40" i="15" s="1"/>
  <c r="AN40" i="15" s="1"/>
  <c r="AO40" i="15" s="1"/>
  <c r="AP40" i="15" s="1"/>
  <c r="AQ40" i="15" s="1"/>
  <c r="AR40" i="15" s="1"/>
  <c r="AS40" i="15" s="1"/>
  <c r="AT40" i="15" s="1"/>
  <c r="AU40" i="15" s="1"/>
  <c r="AV40" i="15" s="1"/>
  <c r="AW40" i="15" s="1"/>
  <c r="AX40" i="15" s="1"/>
  <c r="AY40" i="15" s="1"/>
  <c r="AZ40" i="15" s="1"/>
  <c r="BA40" i="15" s="1"/>
  <c r="BB40" i="15" s="1"/>
  <c r="BC40" i="15" s="1"/>
  <c r="BD40" i="15" s="1"/>
  <c r="BE40" i="15" s="1"/>
  <c r="BF40" i="15" s="1"/>
  <c r="BG40" i="15" s="1"/>
  <c r="BH40" i="15" s="1"/>
  <c r="BI40" i="15" s="1"/>
  <c r="BJ40" i="15" s="1"/>
  <c r="BK40" i="15" s="1"/>
  <c r="BL40" i="15" s="1"/>
  <c r="BM40" i="15" s="1"/>
  <c r="BN40" i="15" s="1"/>
  <c r="BO40" i="15" s="1"/>
  <c r="BP40" i="15" s="1"/>
  <c r="BQ40" i="15" s="1"/>
  <c r="BR40" i="15" s="1"/>
  <c r="BS40" i="15" s="1"/>
  <c r="F274" i="4"/>
  <c r="G274" i="4" s="1"/>
  <c r="F273" i="4"/>
  <c r="F265" i="4"/>
  <c r="I231" i="4"/>
  <c r="L3" i="15"/>
  <c r="M3" i="15" s="1"/>
  <c r="N3" i="15" s="1"/>
  <c r="O3" i="15" s="1"/>
  <c r="P3" i="15" s="1"/>
  <c r="Q3" i="15" s="1"/>
  <c r="R3" i="15" s="1"/>
  <c r="S3" i="15" s="1"/>
  <c r="T3" i="15" s="1"/>
  <c r="U3" i="15" s="1"/>
  <c r="V3" i="15" s="1"/>
  <c r="W3" i="15" s="1"/>
  <c r="X3" i="15" s="1"/>
  <c r="Y3" i="15" s="1"/>
  <c r="Z3" i="15" s="1"/>
  <c r="AA3" i="15" s="1"/>
  <c r="AB3" i="15" s="1"/>
  <c r="AC3" i="15" s="1"/>
  <c r="AD3" i="15" s="1"/>
  <c r="AE3" i="15" s="1"/>
  <c r="AF3" i="15" s="1"/>
  <c r="AG3" i="15" s="1"/>
  <c r="AH3" i="15" s="1"/>
  <c r="AI3" i="15" s="1"/>
  <c r="AJ3" i="15" s="1"/>
  <c r="AK3" i="15" s="1"/>
  <c r="AL3" i="15" s="1"/>
  <c r="AM3" i="15" s="1"/>
  <c r="AN3" i="15" s="1"/>
  <c r="AO3" i="15" s="1"/>
  <c r="AP3" i="15" s="1"/>
  <c r="AQ3" i="15" s="1"/>
  <c r="AR3" i="15" s="1"/>
  <c r="AS3" i="15" s="1"/>
  <c r="AT3" i="15" s="1"/>
  <c r="AU3" i="15" s="1"/>
  <c r="AV3" i="15" s="1"/>
  <c r="AW3" i="15" s="1"/>
  <c r="AX3" i="15" s="1"/>
  <c r="AY3" i="15" s="1"/>
  <c r="AZ3" i="15" s="1"/>
  <c r="BA3" i="15" s="1"/>
  <c r="BB3" i="15" s="1"/>
  <c r="BC3" i="15" s="1"/>
  <c r="BD3" i="15" s="1"/>
  <c r="BE3" i="15" s="1"/>
  <c r="BF3" i="15" s="1"/>
  <c r="BG3" i="15" s="1"/>
  <c r="BH3" i="15" s="1"/>
  <c r="BI3" i="15" s="1"/>
  <c r="BJ3" i="15" s="1"/>
  <c r="BK3" i="15" s="1"/>
  <c r="BL3" i="15" s="1"/>
  <c r="BM3" i="15" s="1"/>
  <c r="BN3" i="15" s="1"/>
  <c r="BO3" i="15" s="1"/>
  <c r="BP3" i="15" s="1"/>
  <c r="BQ3" i="15" s="1"/>
  <c r="BR3" i="15" s="1"/>
  <c r="BS3" i="15" s="1"/>
  <c r="H46" i="15" l="1"/>
  <c r="BI46" i="15" s="1"/>
  <c r="X46" i="15"/>
  <c r="BD46" i="15"/>
  <c r="AN46" i="15"/>
  <c r="BG47" i="15"/>
  <c r="AA47" i="15"/>
  <c r="BS47" i="15"/>
  <c r="BC47" i="15"/>
  <c r="AM47" i="15"/>
  <c r="AQ47" i="15"/>
  <c r="BO47" i="15"/>
  <c r="AY47" i="15"/>
  <c r="AI47" i="15"/>
  <c r="BK47" i="15"/>
  <c r="AU47" i="15"/>
  <c r="AE47" i="15"/>
  <c r="AZ46" i="15"/>
  <c r="AJ46" i="15"/>
  <c r="BL46" i="15"/>
  <c r="AV46" i="15"/>
  <c r="AF46" i="15"/>
  <c r="BH46" i="15"/>
  <c r="AR46" i="15"/>
  <c r="AB46" i="15"/>
  <c r="BQ45" i="15"/>
  <c r="BM45" i="15"/>
  <c r="BI45" i="15"/>
  <c r="BE45" i="15"/>
  <c r="BA45" i="15"/>
  <c r="AW45" i="15"/>
  <c r="AS45" i="15"/>
  <c r="AO45" i="15"/>
  <c r="AK45" i="15"/>
  <c r="AG45" i="15"/>
  <c r="AC45" i="15"/>
  <c r="Y45" i="15"/>
  <c r="BR44" i="15"/>
  <c r="BN44" i="15"/>
  <c r="BJ44" i="15"/>
  <c r="BF44" i="15"/>
  <c r="BB44" i="15"/>
  <c r="AX44" i="15"/>
  <c r="AT44" i="15"/>
  <c r="AP44" i="15"/>
  <c r="AL44" i="15"/>
  <c r="AH44" i="15"/>
  <c r="AD44" i="15"/>
  <c r="Z44" i="15"/>
  <c r="BS43" i="15"/>
  <c r="BO43" i="15"/>
  <c r="BK43" i="15"/>
  <c r="BG43" i="15"/>
  <c r="BC43" i="15"/>
  <c r="AY43" i="15"/>
  <c r="AU43" i="15"/>
  <c r="AQ43" i="15"/>
  <c r="AM43" i="15"/>
  <c r="AI43" i="15"/>
  <c r="AE43" i="15"/>
  <c r="AA43" i="15"/>
  <c r="BR47" i="15"/>
  <c r="BN47" i="15"/>
  <c r="BJ47" i="15"/>
  <c r="BF47" i="15"/>
  <c r="BB47" i="15"/>
  <c r="AX47" i="15"/>
  <c r="AT47" i="15"/>
  <c r="AP47" i="15"/>
  <c r="AL47" i="15"/>
  <c r="AH47" i="15"/>
  <c r="AD47" i="15"/>
  <c r="Z47" i="15"/>
  <c r="BS46" i="15"/>
  <c r="BO46" i="15"/>
  <c r="BK46" i="15"/>
  <c r="BG46" i="15"/>
  <c r="BC46" i="15"/>
  <c r="AY46" i="15"/>
  <c r="AU46" i="15"/>
  <c r="AQ46" i="15"/>
  <c r="AM46" i="15"/>
  <c r="AI46" i="15"/>
  <c r="AE46" i="15"/>
  <c r="AA46" i="15"/>
  <c r="BP45" i="15"/>
  <c r="BL45" i="15"/>
  <c r="BH45" i="15"/>
  <c r="BD45" i="15"/>
  <c r="AZ45" i="15"/>
  <c r="AV45" i="15"/>
  <c r="AR45" i="15"/>
  <c r="AN45" i="15"/>
  <c r="AJ45" i="15"/>
  <c r="AF45" i="15"/>
  <c r="AB45" i="15"/>
  <c r="X45" i="15"/>
  <c r="BQ44" i="15"/>
  <c r="BM44" i="15"/>
  <c r="BI44" i="15"/>
  <c r="BE44" i="15"/>
  <c r="BA44" i="15"/>
  <c r="AW44" i="15"/>
  <c r="AS44" i="15"/>
  <c r="AO44" i="15"/>
  <c r="AK44" i="15"/>
  <c r="AG44" i="15"/>
  <c r="AC44" i="15"/>
  <c r="Y44" i="15"/>
  <c r="BR43" i="15"/>
  <c r="BN43" i="15"/>
  <c r="BJ43" i="15"/>
  <c r="BF43" i="15"/>
  <c r="BB43" i="15"/>
  <c r="AX43" i="15"/>
  <c r="AT43" i="15"/>
  <c r="AP43" i="15"/>
  <c r="AL43" i="15"/>
  <c r="AH43" i="15"/>
  <c r="AD43" i="15"/>
  <c r="Z43" i="15"/>
  <c r="BQ47" i="15"/>
  <c r="BM47" i="15"/>
  <c r="BI47" i="15"/>
  <c r="BE47" i="15"/>
  <c r="BA47" i="15"/>
  <c r="AW47" i="15"/>
  <c r="AS47" i="15"/>
  <c r="AO47" i="15"/>
  <c r="AK47" i="15"/>
  <c r="AG47" i="15"/>
  <c r="AC47" i="15"/>
  <c r="Y47" i="15"/>
  <c r="BR46" i="15"/>
  <c r="BN46" i="15"/>
  <c r="BJ46" i="15"/>
  <c r="BF46" i="15"/>
  <c r="BB46" i="15"/>
  <c r="AX46" i="15"/>
  <c r="AT46" i="15"/>
  <c r="AP46" i="15"/>
  <c r="AL46" i="15"/>
  <c r="AH46" i="15"/>
  <c r="AD46" i="15"/>
  <c r="Z46" i="15"/>
  <c r="BS45" i="15"/>
  <c r="BO45" i="15"/>
  <c r="BK45" i="15"/>
  <c r="BG45" i="15"/>
  <c r="BC45" i="15"/>
  <c r="AY45" i="15"/>
  <c r="AU45" i="15"/>
  <c r="AQ45" i="15"/>
  <c r="AM45" i="15"/>
  <c r="AI45" i="15"/>
  <c r="AE45" i="15"/>
  <c r="AA45" i="15"/>
  <c r="BP44" i="15"/>
  <c r="BL44" i="15"/>
  <c r="BH44" i="15"/>
  <c r="BD44" i="15"/>
  <c r="AZ44" i="15"/>
  <c r="AV44" i="15"/>
  <c r="AR44" i="15"/>
  <c r="AN44" i="15"/>
  <c r="AJ44" i="15"/>
  <c r="AF44" i="15"/>
  <c r="AB44" i="15"/>
  <c r="X44" i="15"/>
  <c r="BQ43" i="15"/>
  <c r="BM43" i="15"/>
  <c r="BI43" i="15"/>
  <c r="BE43" i="15"/>
  <c r="BA43" i="15"/>
  <c r="AW43" i="15"/>
  <c r="AS43" i="15"/>
  <c r="AO43" i="15"/>
  <c r="AK43" i="15"/>
  <c r="AG43" i="15"/>
  <c r="AC43" i="15"/>
  <c r="Y43" i="15"/>
  <c r="BP47" i="15"/>
  <c r="BL47" i="15"/>
  <c r="BD47" i="15"/>
  <c r="AZ47" i="15"/>
  <c r="AV47" i="15"/>
  <c r="AR47" i="15"/>
  <c r="AN47" i="15"/>
  <c r="AJ47" i="15"/>
  <c r="AF47" i="15"/>
  <c r="AB47" i="15"/>
  <c r="X47" i="15"/>
  <c r="BQ46" i="15"/>
  <c r="BM46" i="15"/>
  <c r="BE46" i="15"/>
  <c r="BA46" i="15"/>
  <c r="AW46" i="15"/>
  <c r="AS46" i="15"/>
  <c r="AO46" i="15"/>
  <c r="AK46" i="15"/>
  <c r="AG46" i="15"/>
  <c r="AC46" i="15"/>
  <c r="Y46" i="15"/>
  <c r="BR45" i="15"/>
  <c r="BN45" i="15"/>
  <c r="BF45" i="15"/>
  <c r="BB45" i="15"/>
  <c r="AX45" i="15"/>
  <c r="AT45" i="15"/>
  <c r="AP45" i="15"/>
  <c r="AL45" i="15"/>
  <c r="AH45" i="15"/>
  <c r="AD45" i="15"/>
  <c r="Z45" i="15"/>
  <c r="BS44" i="15"/>
  <c r="BO44" i="15"/>
  <c r="BG44" i="15"/>
  <c r="BC44" i="15"/>
  <c r="AY44" i="15"/>
  <c r="AU44" i="15"/>
  <c r="AQ44" i="15"/>
  <c r="AM44" i="15"/>
  <c r="AI44" i="15"/>
  <c r="AE44" i="15"/>
  <c r="AA44" i="15"/>
  <c r="BP43" i="15"/>
  <c r="BL43" i="15"/>
  <c r="BD43" i="15"/>
  <c r="AZ43" i="15"/>
  <c r="AV43" i="15"/>
  <c r="AR43" i="15"/>
  <c r="AN43" i="15"/>
  <c r="AJ43" i="15"/>
  <c r="AF43" i="15"/>
  <c r="AB43" i="15"/>
  <c r="X43" i="15"/>
  <c r="A1" i="15"/>
  <c r="B22" i="15"/>
  <c r="B21" i="15"/>
  <c r="B20" i="15"/>
  <c r="B19" i="15"/>
  <c r="B18" i="15"/>
  <c r="BP46" i="15" l="1"/>
  <c r="B5" i="15"/>
  <c r="B11" i="15"/>
  <c r="B9" i="15"/>
  <c r="B15" i="15"/>
  <c r="B12" i="15"/>
  <c r="B6" i="15"/>
  <c r="B14" i="15"/>
  <c r="B8" i="15"/>
  <c r="B13" i="15"/>
  <c r="B7" i="15"/>
  <c r="B47" i="15"/>
  <c r="F232" i="4"/>
  <c r="F231" i="4"/>
  <c r="F233" i="4"/>
  <c r="F235" i="4"/>
  <c r="F234" i="4"/>
  <c r="B33" i="15"/>
  <c r="B43" i="15"/>
  <c r="B35" i="15"/>
  <c r="B45" i="15"/>
  <c r="B34" i="15"/>
  <c r="B44" i="15"/>
  <c r="B36" i="15"/>
  <c r="B46" i="15"/>
  <c r="B27" i="15"/>
  <c r="L23" i="15"/>
  <c r="B29" i="15"/>
  <c r="B26" i="15"/>
  <c r="B37" i="15"/>
  <c r="B30" i="15"/>
  <c r="B28" i="15"/>
  <c r="L37" i="15" l="1"/>
  <c r="L36" i="15"/>
  <c r="L35" i="15"/>
  <c r="L34" i="15"/>
  <c r="L33" i="15"/>
  <c r="G233" i="4"/>
  <c r="G231" i="4"/>
  <c r="G235" i="4"/>
  <c r="G234" i="4"/>
  <c r="G232" i="4"/>
  <c r="M23" i="15"/>
  <c r="M36" i="15" l="1"/>
  <c r="M34" i="15"/>
  <c r="M33" i="15"/>
  <c r="M37" i="15"/>
  <c r="M35" i="15"/>
  <c r="H232" i="4"/>
  <c r="H233" i="4"/>
  <c r="H234" i="4"/>
  <c r="H235" i="4"/>
  <c r="H231" i="4"/>
  <c r="N23" i="15"/>
  <c r="N35" i="15" l="1"/>
  <c r="N37" i="15"/>
  <c r="N36" i="15"/>
  <c r="N34" i="15"/>
  <c r="N33" i="15"/>
  <c r="I233" i="4"/>
  <c r="I235" i="4"/>
  <c r="I234" i="4"/>
  <c r="I232" i="4"/>
  <c r="O23" i="15"/>
  <c r="O37" i="15" l="1"/>
  <c r="O33" i="15"/>
  <c r="O36" i="15"/>
  <c r="O34" i="15"/>
  <c r="O35" i="15"/>
  <c r="J233" i="4"/>
  <c r="J231" i="4"/>
  <c r="J232" i="4"/>
  <c r="J234" i="4"/>
  <c r="J235" i="4"/>
  <c r="P23" i="15"/>
  <c r="P36" i="15" l="1"/>
  <c r="P35" i="15"/>
  <c r="P33" i="15"/>
  <c r="P37" i="15"/>
  <c r="P34" i="15"/>
  <c r="K234" i="4"/>
  <c r="K232" i="4"/>
  <c r="K231" i="4"/>
  <c r="K235" i="4"/>
  <c r="K233" i="4"/>
  <c r="Q23" i="15"/>
  <c r="Q35" i="15" l="1"/>
  <c r="Q34" i="15"/>
  <c r="Q37" i="15"/>
  <c r="Q36" i="15"/>
  <c r="Q33" i="15"/>
  <c r="L231" i="4"/>
  <c r="L235" i="4"/>
  <c r="L232" i="4"/>
  <c r="L234" i="4"/>
  <c r="L233" i="4"/>
  <c r="R23" i="15"/>
  <c r="R34" i="15" l="1"/>
  <c r="R37" i="15"/>
  <c r="R33" i="15"/>
  <c r="R36" i="15"/>
  <c r="R35" i="15"/>
  <c r="M234" i="4"/>
  <c r="M233" i="4"/>
  <c r="M231" i="4"/>
  <c r="M232" i="4"/>
  <c r="M235" i="4"/>
  <c r="S23" i="15"/>
  <c r="S37" i="15" l="1"/>
  <c r="S33" i="15"/>
  <c r="S36" i="15"/>
  <c r="S35" i="15"/>
  <c r="S34" i="15"/>
  <c r="N231" i="4"/>
  <c r="N232" i="4"/>
  <c r="N233" i="4"/>
  <c r="N235" i="4"/>
  <c r="N234" i="4"/>
  <c r="T23" i="15"/>
  <c r="T36" i="15" l="1"/>
  <c r="T35" i="15"/>
  <c r="T37" i="15"/>
  <c r="T34" i="15"/>
  <c r="T33" i="15"/>
  <c r="O232" i="4"/>
  <c r="O233" i="4"/>
  <c r="O234" i="4"/>
  <c r="O235" i="4"/>
  <c r="O231" i="4"/>
  <c r="U23" i="15"/>
  <c r="U35" i="15" l="1"/>
  <c r="U34" i="15"/>
  <c r="U36" i="15"/>
  <c r="U33" i="15"/>
  <c r="U37" i="15"/>
  <c r="D15" i="15"/>
  <c r="P233" i="4"/>
  <c r="D13" i="15"/>
  <c r="P234" i="4"/>
  <c r="D14" i="15"/>
  <c r="P232" i="4"/>
  <c r="D12" i="15"/>
  <c r="P231" i="4"/>
  <c r="P235" i="4"/>
  <c r="V23" i="15"/>
  <c r="D11" i="15"/>
  <c r="V34" i="15" l="1"/>
  <c r="V37" i="15"/>
  <c r="V33" i="15"/>
  <c r="V36" i="15"/>
  <c r="D8" i="19"/>
  <c r="AH43" i="19" s="1"/>
  <c r="AH44" i="19" s="1"/>
  <c r="Q233" i="4"/>
  <c r="Q231" i="4"/>
  <c r="Q232" i="4"/>
  <c r="Q235" i="4"/>
  <c r="Q234" i="4"/>
  <c r="S231" i="4"/>
  <c r="W23" i="15"/>
  <c r="AH48" i="19" l="1"/>
  <c r="AH45" i="19"/>
  <c r="V35" i="15"/>
  <c r="W37" i="15"/>
  <c r="D37" i="15" s="1"/>
  <c r="W33" i="15"/>
  <c r="D33" i="15" s="1"/>
  <c r="W36" i="15"/>
  <c r="D36" i="15" s="1"/>
  <c r="W34" i="15"/>
  <c r="D34" i="15" s="1"/>
  <c r="W35" i="15"/>
  <c r="D35" i="15" s="1"/>
  <c r="S235" i="4"/>
  <c r="S232" i="4"/>
  <c r="S234" i="4"/>
  <c r="S233" i="4"/>
  <c r="X23" i="15"/>
  <c r="D38" i="15" l="1"/>
  <c r="D49" i="15" s="1"/>
  <c r="X30" i="15"/>
  <c r="X29" i="15"/>
  <c r="X28" i="15"/>
  <c r="X27" i="15"/>
  <c r="X26" i="15"/>
  <c r="AF232" i="4"/>
  <c r="T234" i="4"/>
  <c r="T232" i="4"/>
  <c r="T235" i="4"/>
  <c r="T233" i="4"/>
  <c r="T231" i="4"/>
  <c r="Y23" i="15"/>
  <c r="X35" i="15" l="1"/>
  <c r="X33" i="15"/>
  <c r="X37" i="15"/>
  <c r="X36" i="15"/>
  <c r="X34" i="15"/>
  <c r="Y30" i="15"/>
  <c r="Y37" i="15" s="1"/>
  <c r="Y29" i="15"/>
  <c r="Y36" i="15" s="1"/>
  <c r="Y28" i="15"/>
  <c r="Y35" i="15" s="1"/>
  <c r="Y27" i="15"/>
  <c r="Y34" i="15" s="1"/>
  <c r="Y26" i="15"/>
  <c r="Y33" i="15" s="1"/>
  <c r="U233" i="4"/>
  <c r="U235" i="4"/>
  <c r="U234" i="4"/>
  <c r="U232" i="4"/>
  <c r="U231" i="4"/>
  <c r="Z23" i="15"/>
  <c r="Z30" i="15" l="1"/>
  <c r="Z37" i="15" s="1"/>
  <c r="Z29" i="15"/>
  <c r="Z36" i="15" s="1"/>
  <c r="Z28" i="15"/>
  <c r="Z35" i="15" s="1"/>
  <c r="Z27" i="15"/>
  <c r="Z34" i="15" s="1"/>
  <c r="Z26" i="15"/>
  <c r="AG233" i="4"/>
  <c r="V235" i="4"/>
  <c r="V233" i="4"/>
  <c r="V232" i="4"/>
  <c r="V234" i="4"/>
  <c r="V231" i="4"/>
  <c r="AA23" i="15"/>
  <c r="Z33" i="15" l="1"/>
  <c r="AA29" i="15"/>
  <c r="AA36" i="15" s="1"/>
  <c r="AA27" i="15"/>
  <c r="AA34" i="15" s="1"/>
  <c r="AA26" i="15"/>
  <c r="AA33" i="15" s="1"/>
  <c r="AA30" i="15"/>
  <c r="AA28" i="15"/>
  <c r="AA35" i="15" s="1"/>
  <c r="W234" i="4"/>
  <c r="W233" i="4"/>
  <c r="W232" i="4"/>
  <c r="W235" i="4"/>
  <c r="W231" i="4"/>
  <c r="AB23" i="15"/>
  <c r="AA37" i="15" l="1"/>
  <c r="AB30" i="15"/>
  <c r="AB37" i="15" s="1"/>
  <c r="AB29" i="15"/>
  <c r="AB36" i="15" s="1"/>
  <c r="AB28" i="15"/>
  <c r="AB35" i="15" s="1"/>
  <c r="AB27" i="15"/>
  <c r="AB34" i="15" s="1"/>
  <c r="AB26" i="15"/>
  <c r="X232" i="4"/>
  <c r="X233" i="4"/>
  <c r="X235" i="4"/>
  <c r="X234" i="4"/>
  <c r="X231" i="4"/>
  <c r="AC23" i="15"/>
  <c r="AB33" i="15" l="1"/>
  <c r="AC30" i="15"/>
  <c r="AC29" i="15"/>
  <c r="AC36" i="15" s="1"/>
  <c r="AC28" i="15"/>
  <c r="AC35" i="15" s="1"/>
  <c r="AC27" i="15"/>
  <c r="AC34" i="15" s="1"/>
  <c r="AC26" i="15"/>
  <c r="AC33" i="15" s="1"/>
  <c r="Y234" i="4"/>
  <c r="Y232" i="4"/>
  <c r="Y235" i="4"/>
  <c r="Y233" i="4"/>
  <c r="Y231" i="4"/>
  <c r="AD23" i="15"/>
  <c r="AC37" i="15" l="1"/>
  <c r="AD30" i="15"/>
  <c r="AD37" i="15" s="1"/>
  <c r="AD29" i="15"/>
  <c r="AD36" i="15" s="1"/>
  <c r="AD28" i="15"/>
  <c r="AD35" i="15" s="1"/>
  <c r="AD27" i="15"/>
  <c r="AD34" i="15" s="1"/>
  <c r="AD26" i="15"/>
  <c r="AD33" i="15" s="1"/>
  <c r="Z233" i="4"/>
  <c r="Z235" i="4"/>
  <c r="Z232" i="4"/>
  <c r="Z234" i="4"/>
  <c r="Z231" i="4"/>
  <c r="AE23" i="15"/>
  <c r="AE30" i="15" l="1"/>
  <c r="AE37" i="15" s="1"/>
  <c r="AE28" i="15"/>
  <c r="AE35" i="15" s="1"/>
  <c r="AE29" i="15"/>
  <c r="AE36" i="15" s="1"/>
  <c r="AE27" i="15"/>
  <c r="AE34" i="15" s="1"/>
  <c r="AE26" i="15"/>
  <c r="AA235" i="4"/>
  <c r="AA234" i="4"/>
  <c r="AA232" i="4"/>
  <c r="AA233" i="4"/>
  <c r="AA231" i="4"/>
  <c r="AF23" i="15"/>
  <c r="AE33" i="15" l="1"/>
  <c r="AF30" i="15"/>
  <c r="AF37" i="15" s="1"/>
  <c r="AF29" i="15"/>
  <c r="AF36" i="15" s="1"/>
  <c r="AF28" i="15"/>
  <c r="AF35" i="15" s="1"/>
  <c r="AF27" i="15"/>
  <c r="AF34" i="15" s="1"/>
  <c r="AF26" i="15"/>
  <c r="AF33" i="15" s="1"/>
  <c r="AB232" i="4"/>
  <c r="AB233" i="4"/>
  <c r="AB234" i="4"/>
  <c r="AB235" i="4"/>
  <c r="AB231" i="4"/>
  <c r="AG23" i="15"/>
  <c r="AG30" i="15" l="1"/>
  <c r="AG37" i="15" s="1"/>
  <c r="AG29" i="15"/>
  <c r="AG36" i="15" s="1"/>
  <c r="AG28" i="15"/>
  <c r="AG35" i="15" s="1"/>
  <c r="AG27" i="15"/>
  <c r="AG34" i="15" s="1"/>
  <c r="AG26" i="15"/>
  <c r="AG33" i="15" s="1"/>
  <c r="AC234" i="4"/>
  <c r="E14" i="15"/>
  <c r="AC235" i="4"/>
  <c r="E15" i="15"/>
  <c r="AC233" i="4"/>
  <c r="E13" i="15"/>
  <c r="AC232" i="4"/>
  <c r="AC231" i="4"/>
  <c r="E11" i="15"/>
  <c r="AH23" i="15"/>
  <c r="AH30" i="15" l="1"/>
  <c r="AH29" i="15"/>
  <c r="AH28" i="15"/>
  <c r="AH35" i="15" s="1"/>
  <c r="AH27" i="15"/>
  <c r="AH34" i="15" s="1"/>
  <c r="AH26" i="15"/>
  <c r="AH33" i="15" s="1"/>
  <c r="E12" i="15"/>
  <c r="F12" i="15"/>
  <c r="AD235" i="4"/>
  <c r="AD232" i="4"/>
  <c r="AD233" i="4"/>
  <c r="AD234" i="4"/>
  <c r="AD231" i="4"/>
  <c r="AI23" i="15"/>
  <c r="AI30" i="15" l="1"/>
  <c r="AI28" i="15"/>
  <c r="AI27" i="15"/>
  <c r="AI26" i="15"/>
  <c r="AI29" i="15"/>
  <c r="AH36" i="15"/>
  <c r="AH37" i="15"/>
  <c r="E24" i="15"/>
  <c r="E8" i="19"/>
  <c r="AI43" i="19" s="1"/>
  <c r="AI44" i="19" s="1"/>
  <c r="G12" i="15"/>
  <c r="AJ23" i="15"/>
  <c r="AI33" i="15" l="1"/>
  <c r="E33" i="15" s="1"/>
  <c r="E26" i="15"/>
  <c r="AI34" i="15"/>
  <c r="E34" i="15" s="1"/>
  <c r="E27" i="15"/>
  <c r="AI35" i="15"/>
  <c r="E35" i="15" s="1"/>
  <c r="E28" i="15"/>
  <c r="AI36" i="15"/>
  <c r="E36" i="15" s="1"/>
  <c r="E29" i="15"/>
  <c r="AI37" i="15"/>
  <c r="E37" i="15" s="1"/>
  <c r="E30" i="15"/>
  <c r="AI45" i="19"/>
  <c r="AJ30" i="15"/>
  <c r="AJ29" i="15"/>
  <c r="AJ28" i="15"/>
  <c r="AJ27" i="15"/>
  <c r="AJ26" i="15"/>
  <c r="AG232" i="4"/>
  <c r="AK23" i="15"/>
  <c r="AJ33" i="15" l="1"/>
  <c r="AJ37" i="15"/>
  <c r="AJ34" i="15"/>
  <c r="AJ35" i="15"/>
  <c r="AJ36" i="15"/>
  <c r="E38" i="15"/>
  <c r="AK30" i="15"/>
  <c r="AK37" i="15" s="1"/>
  <c r="AK29" i="15"/>
  <c r="AK36" i="15" s="1"/>
  <c r="AK28" i="15"/>
  <c r="AK35" i="15" s="1"/>
  <c r="AK27" i="15"/>
  <c r="AK34" i="15" s="1"/>
  <c r="AK26" i="15"/>
  <c r="AK33" i="15" s="1"/>
  <c r="H13" i="15"/>
  <c r="AL23" i="15"/>
  <c r="AL30" i="15" l="1"/>
  <c r="AL37" i="15" s="1"/>
  <c r="AL29" i="15"/>
  <c r="AL36" i="15" s="1"/>
  <c r="AL28" i="15"/>
  <c r="AL27" i="15"/>
  <c r="AL34" i="15" s="1"/>
  <c r="AL26" i="15"/>
  <c r="AL33" i="15" s="1"/>
  <c r="AH233" i="4"/>
  <c r="AM23" i="15"/>
  <c r="AL35" i="15" l="1"/>
  <c r="AM30" i="15"/>
  <c r="AM37" i="15" s="1"/>
  <c r="AM29" i="15"/>
  <c r="AM36" i="15" s="1"/>
  <c r="AM28" i="15"/>
  <c r="AM35" i="15" s="1"/>
  <c r="AM27" i="15"/>
  <c r="AM34" i="15" s="1"/>
  <c r="AM26" i="15"/>
  <c r="AM33" i="15" s="1"/>
  <c r="AN23" i="15"/>
  <c r="AN30" i="15" l="1"/>
  <c r="AN29" i="15"/>
  <c r="AN36" i="15" s="1"/>
  <c r="AN28" i="15"/>
  <c r="AN35" i="15" s="1"/>
  <c r="AN27" i="15"/>
  <c r="AN34" i="15" s="1"/>
  <c r="AN26" i="15"/>
  <c r="AN33" i="15" s="1"/>
  <c r="AO23" i="15"/>
  <c r="AN37" i="15" l="1"/>
  <c r="AO30" i="15"/>
  <c r="AO37" i="15" s="1"/>
  <c r="AO29" i="15"/>
  <c r="AO36" i="15" s="1"/>
  <c r="AO28" i="15"/>
  <c r="AO35" i="15" s="1"/>
  <c r="AO27" i="15"/>
  <c r="AO26" i="15"/>
  <c r="AP23" i="15"/>
  <c r="R280" i="4"/>
  <c r="T280" i="4" s="1"/>
  <c r="U280" i="4" s="1"/>
  <c r="G282" i="4"/>
  <c r="H282" i="4" s="1"/>
  <c r="G284" i="4"/>
  <c r="H284" i="4" s="1"/>
  <c r="G285" i="4"/>
  <c r="H285" i="4" s="1"/>
  <c r="G279" i="4"/>
  <c r="H279" i="4" s="1"/>
  <c r="I279" i="4" s="1"/>
  <c r="G271" i="4"/>
  <c r="H271" i="4" s="1"/>
  <c r="G272" i="4"/>
  <c r="G273" i="4"/>
  <c r="H273" i="4" s="1"/>
  <c r="I273" i="4" s="1"/>
  <c r="J273" i="4" s="1"/>
  <c r="K273" i="4" s="1"/>
  <c r="L273" i="4" s="1"/>
  <c r="M273" i="4" s="1"/>
  <c r="N273" i="4" s="1"/>
  <c r="O273" i="4" s="1"/>
  <c r="P273" i="4" s="1"/>
  <c r="Q273" i="4" s="1"/>
  <c r="R273" i="4" s="1"/>
  <c r="V273" i="4" s="1"/>
  <c r="W273" i="4" s="1"/>
  <c r="X273" i="4" s="1"/>
  <c r="H274" i="4"/>
  <c r="I274" i="4" s="1"/>
  <c r="J274" i="4" s="1"/>
  <c r="K274" i="4" s="1"/>
  <c r="G275" i="4"/>
  <c r="H275" i="4" s="1"/>
  <c r="I275" i="4" s="1"/>
  <c r="J275" i="4" s="1"/>
  <c r="K275" i="4" s="1"/>
  <c r="L275" i="4" s="1"/>
  <c r="M275" i="4" s="1"/>
  <c r="N275" i="4" s="1"/>
  <c r="O275" i="4" s="1"/>
  <c r="P275" i="4" s="1"/>
  <c r="Q275" i="4" s="1"/>
  <c r="R275" i="4" s="1"/>
  <c r="S275" i="4" s="1"/>
  <c r="G270" i="4"/>
  <c r="G261" i="4"/>
  <c r="H261" i="4" s="1"/>
  <c r="I261" i="4" s="1"/>
  <c r="J261" i="4" s="1"/>
  <c r="L261" i="4" s="1"/>
  <c r="M261" i="4" s="1"/>
  <c r="N261" i="4" s="1"/>
  <c r="O261" i="4" s="1"/>
  <c r="P261" i="4" s="1"/>
  <c r="Q261" i="4" s="1"/>
  <c r="R261" i="4" s="1"/>
  <c r="AE261" i="4" s="1"/>
  <c r="AF261" i="4" s="1"/>
  <c r="AG261" i="4" s="1"/>
  <c r="AH261" i="4" s="1"/>
  <c r="G262" i="4"/>
  <c r="H262" i="4" s="1"/>
  <c r="G263" i="4"/>
  <c r="G264" i="4"/>
  <c r="H264" i="4" s="1"/>
  <c r="G265" i="4"/>
  <c r="H265" i="4" s="1"/>
  <c r="I265" i="4" s="1"/>
  <c r="J265" i="4" s="1"/>
  <c r="K265" i="4" s="1"/>
  <c r="L265" i="4" s="1"/>
  <c r="M265" i="4" s="1"/>
  <c r="N265" i="4" s="1"/>
  <c r="O265" i="4" s="1"/>
  <c r="P265" i="4" s="1"/>
  <c r="Q265" i="4" s="1"/>
  <c r="R265" i="4" s="1"/>
  <c r="AE265" i="4" s="1"/>
  <c r="AF265" i="4" s="1"/>
  <c r="AG265" i="4" s="1"/>
  <c r="AH265" i="4" s="1"/>
  <c r="G266" i="4"/>
  <c r="H266" i="4" s="1"/>
  <c r="G260" i="4"/>
  <c r="H260" i="4" s="1"/>
  <c r="I260" i="4" s="1"/>
  <c r="J260" i="4" s="1"/>
  <c r="F247" i="4"/>
  <c r="F88" i="4" s="1"/>
  <c r="F248" i="4"/>
  <c r="F89" i="4" s="1"/>
  <c r="F249" i="4"/>
  <c r="F90" i="4" s="1"/>
  <c r="F250" i="4"/>
  <c r="F91" i="4" s="1"/>
  <c r="G247" i="4"/>
  <c r="G25" i="3"/>
  <c r="H25" i="3"/>
  <c r="H26" i="3"/>
  <c r="I26" i="3"/>
  <c r="D33" i="3"/>
  <c r="D25" i="3"/>
  <c r="C111" i="4"/>
  <c r="C101" i="4"/>
  <c r="C102" i="4"/>
  <c r="C103" i="4"/>
  <c r="C113" i="4"/>
  <c r="C114" i="4"/>
  <c r="C136" i="4"/>
  <c r="C137" i="4"/>
  <c r="C138" i="4"/>
  <c r="C144" i="4"/>
  <c r="H389" i="4"/>
  <c r="F246" i="4"/>
  <c r="F87" i="4" s="1"/>
  <c r="C326" i="4"/>
  <c r="F326" i="4" s="1"/>
  <c r="G326" i="4" s="1"/>
  <c r="T275" i="4"/>
  <c r="U275" i="4" s="1"/>
  <c r="V275" i="4" s="1"/>
  <c r="W275" i="4" s="1"/>
  <c r="X275" i="4" s="1"/>
  <c r="Y275" i="4" s="1"/>
  <c r="Z275" i="4" s="1"/>
  <c r="AA275" i="4" s="1"/>
  <c r="AB275" i="4" s="1"/>
  <c r="AC275" i="4" s="1"/>
  <c r="AD275" i="4" s="1"/>
  <c r="AE275" i="4" s="1"/>
  <c r="AF275" i="4" s="1"/>
  <c r="AG275" i="4" s="1"/>
  <c r="AH275" i="4" s="1"/>
  <c r="H7" i="11"/>
  <c r="AG389" i="4"/>
  <c r="AH389" i="4"/>
  <c r="F267" i="4"/>
  <c r="F96" i="4" s="1"/>
  <c r="F276" i="4"/>
  <c r="F286" i="4"/>
  <c r="F132" i="4" s="1"/>
  <c r="Q128" i="4"/>
  <c r="F318" i="4"/>
  <c r="F300" i="4"/>
  <c r="F315" i="4"/>
  <c r="F128" i="4"/>
  <c r="G128" i="4"/>
  <c r="H128" i="4"/>
  <c r="I128" i="4"/>
  <c r="J128" i="4"/>
  <c r="K128" i="4"/>
  <c r="L128" i="4"/>
  <c r="M128" i="4"/>
  <c r="N128" i="4"/>
  <c r="O128" i="4"/>
  <c r="P128" i="4"/>
  <c r="F32" i="4"/>
  <c r="C327" i="4"/>
  <c r="C141" i="4"/>
  <c r="E179" i="4" s="1"/>
  <c r="E180" i="4" s="1"/>
  <c r="E181" i="4" s="1"/>
  <c r="E195" i="4"/>
  <c r="C205" i="4"/>
  <c r="B205" i="4" s="1"/>
  <c r="B58" i="6" s="1"/>
  <c r="D205" i="4"/>
  <c r="C158" i="4"/>
  <c r="C211" i="4"/>
  <c r="B211" i="4" s="1"/>
  <c r="B64" i="6" s="1"/>
  <c r="C159" i="4"/>
  <c r="B159" i="4" s="1"/>
  <c r="C212" i="4"/>
  <c r="F415" i="4" s="1"/>
  <c r="F207" i="4" s="1"/>
  <c r="C160" i="4"/>
  <c r="Q7" i="11"/>
  <c r="T157" i="4" s="1"/>
  <c r="T17" i="4" s="1"/>
  <c r="R7" i="11"/>
  <c r="U157" i="4" s="1"/>
  <c r="T7" i="11"/>
  <c r="W157" i="4"/>
  <c r="W17" i="4"/>
  <c r="U7" i="11"/>
  <c r="X157" i="4" s="1"/>
  <c r="X17" i="4" s="1"/>
  <c r="V7" i="11"/>
  <c r="Y157" i="4"/>
  <c r="Y17" i="4" s="1"/>
  <c r="W7" i="11"/>
  <c r="Z157" i="4" s="1"/>
  <c r="Z17" i="4" s="1"/>
  <c r="X7" i="11"/>
  <c r="AA157" i="4"/>
  <c r="AA17" i="4" s="1"/>
  <c r="Y7" i="11"/>
  <c r="AB157" i="4" s="1"/>
  <c r="AB17" i="4"/>
  <c r="Z7" i="11"/>
  <c r="AC157" i="4" s="1"/>
  <c r="AC17" i="4" s="1"/>
  <c r="AA7" i="11"/>
  <c r="AD157" i="4"/>
  <c r="AD17" i="4"/>
  <c r="P7" i="11"/>
  <c r="S157" i="4"/>
  <c r="S17" i="4"/>
  <c r="I7" i="11"/>
  <c r="L157" i="4" s="1"/>
  <c r="L17" i="4" s="1"/>
  <c r="J7" i="11"/>
  <c r="M157" i="4"/>
  <c r="M17" i="4" s="1"/>
  <c r="K7" i="11"/>
  <c r="N157" i="4" s="1"/>
  <c r="N17" i="4" s="1"/>
  <c r="L7" i="11"/>
  <c r="O157" i="4"/>
  <c r="O17" i="4" s="1"/>
  <c r="M7" i="11"/>
  <c r="P157" i="4" s="1"/>
  <c r="N7" i="11"/>
  <c r="Q157" i="4"/>
  <c r="Q17" i="4" s="1"/>
  <c r="C7" i="11"/>
  <c r="F157" i="4" s="1"/>
  <c r="D7" i="11"/>
  <c r="G157" i="4" s="1"/>
  <c r="E7" i="11"/>
  <c r="H157" i="4" s="1"/>
  <c r="H17" i="4" s="1"/>
  <c r="F7" i="11"/>
  <c r="I157" i="4"/>
  <c r="I17" i="4" s="1"/>
  <c r="G7" i="11"/>
  <c r="J157" i="4" s="1"/>
  <c r="J17" i="4" s="1"/>
  <c r="K157" i="4"/>
  <c r="K17" i="4" s="1"/>
  <c r="C139" i="4"/>
  <c r="K389" i="4"/>
  <c r="C348" i="4"/>
  <c r="E286" i="4"/>
  <c r="C349" i="4"/>
  <c r="C350" i="4"/>
  <c r="C334" i="4"/>
  <c r="E267" i="4"/>
  <c r="C335" i="4"/>
  <c r="C336" i="4"/>
  <c r="C341" i="4"/>
  <c r="E276" i="4"/>
  <c r="C342" i="4"/>
  <c r="C343" i="4"/>
  <c r="F316" i="4"/>
  <c r="F317" i="4"/>
  <c r="F319" i="4"/>
  <c r="F320" i="4"/>
  <c r="F321" i="4"/>
  <c r="F389" i="4"/>
  <c r="F299" i="4"/>
  <c r="F296" i="4"/>
  <c r="F297" i="4"/>
  <c r="F298" i="4"/>
  <c r="F301" i="4"/>
  <c r="F302" i="4"/>
  <c r="F306" i="4"/>
  <c r="F307" i="4"/>
  <c r="F308" i="4"/>
  <c r="F309" i="4"/>
  <c r="F310" i="4"/>
  <c r="F311" i="4"/>
  <c r="F109" i="4"/>
  <c r="G389" i="4"/>
  <c r="I389" i="4"/>
  <c r="J389" i="4"/>
  <c r="L389" i="4"/>
  <c r="M389" i="4"/>
  <c r="N389" i="4"/>
  <c r="O389" i="4"/>
  <c r="P389" i="4"/>
  <c r="Q389" i="4"/>
  <c r="C203" i="4"/>
  <c r="B203" i="4" s="1"/>
  <c r="AD7" i="11"/>
  <c r="AG157" i="4"/>
  <c r="AE7" i="11"/>
  <c r="AH157" i="4"/>
  <c r="AC7" i="11"/>
  <c r="AF157" i="4"/>
  <c r="AF17" i="4" s="1"/>
  <c r="V17" i="4"/>
  <c r="P17" i="4"/>
  <c r="V389" i="4"/>
  <c r="S389" i="4"/>
  <c r="T389" i="4"/>
  <c r="U389" i="4"/>
  <c r="W389" i="4"/>
  <c r="X389" i="4"/>
  <c r="Y389" i="4"/>
  <c r="Z389" i="4"/>
  <c r="AA389" i="4"/>
  <c r="AB389" i="4"/>
  <c r="AC389" i="4"/>
  <c r="AD389" i="4"/>
  <c r="C397" i="4"/>
  <c r="B397" i="4" s="1"/>
  <c r="AE156" i="4"/>
  <c r="S7" i="11"/>
  <c r="AB4" i="11"/>
  <c r="AB3" i="11"/>
  <c r="AB5" i="11"/>
  <c r="AB6" i="11"/>
  <c r="O3" i="11"/>
  <c r="O5" i="11"/>
  <c r="O4" i="11"/>
  <c r="O6" i="11"/>
  <c r="B232" i="4"/>
  <c r="B240" i="4" s="1"/>
  <c r="F1" i="4"/>
  <c r="B320" i="4"/>
  <c r="C390" i="4"/>
  <c r="F390" i="4" s="1"/>
  <c r="F218" i="4"/>
  <c r="F219" i="4"/>
  <c r="F57" i="4" s="1"/>
  <c r="G219" i="4"/>
  <c r="G69" i="4" s="1"/>
  <c r="AE126" i="4"/>
  <c r="AF126" i="4" s="1"/>
  <c r="AE127" i="4"/>
  <c r="AF127" i="4" s="1"/>
  <c r="AF389" i="4"/>
  <c r="AE134" i="4"/>
  <c r="C115" i="4"/>
  <c r="C143" i="4"/>
  <c r="B317" i="4"/>
  <c r="R11" i="4"/>
  <c r="D111" i="4"/>
  <c r="AE100" i="4"/>
  <c r="R100" i="4"/>
  <c r="R389" i="4"/>
  <c r="AE389" i="4"/>
  <c r="B297" i="4"/>
  <c r="B298" i="4"/>
  <c r="B299" i="4"/>
  <c r="B300" i="4"/>
  <c r="B301" i="4"/>
  <c r="B302" i="4"/>
  <c r="B296" i="4"/>
  <c r="B235" i="4"/>
  <c r="B250" i="4" s="1"/>
  <c r="B234" i="4"/>
  <c r="B242" i="4" s="1"/>
  <c r="B233" i="4"/>
  <c r="B89" i="4" s="1"/>
  <c r="B14" i="6" s="1"/>
  <c r="D28" i="3"/>
  <c r="D27" i="3"/>
  <c r="D26" i="3"/>
  <c r="D24" i="3"/>
  <c r="A1" i="3"/>
  <c r="D55" i="3"/>
  <c r="D54" i="3"/>
  <c r="D53" i="3"/>
  <c r="D77" i="3"/>
  <c r="D76" i="3"/>
  <c r="D75" i="3"/>
  <c r="D71" i="3"/>
  <c r="D70" i="3"/>
  <c r="D69" i="3"/>
  <c r="D64" i="3"/>
  <c r="D63" i="3"/>
  <c r="D62" i="3"/>
  <c r="D36" i="3"/>
  <c r="D35" i="3"/>
  <c r="D34" i="3"/>
  <c r="D32" i="3"/>
  <c r="D104" i="3"/>
  <c r="G327" i="4"/>
  <c r="G320" i="4" s="1"/>
  <c r="C389" i="4"/>
  <c r="B389" i="4" s="1"/>
  <c r="D390" i="4"/>
  <c r="B391" i="4" s="1"/>
  <c r="C156" i="4"/>
  <c r="B156" i="4" s="1"/>
  <c r="R126" i="4"/>
  <c r="B231" i="4"/>
  <c r="A1" i="4"/>
  <c r="F29" i="4"/>
  <c r="F28" i="4"/>
  <c r="F27" i="4"/>
  <c r="R409" i="4"/>
  <c r="AE409" i="4"/>
  <c r="E208" i="4"/>
  <c r="E213" i="4"/>
  <c r="A278" i="4"/>
  <c r="A269" i="4"/>
  <c r="A340" i="4" s="1"/>
  <c r="A259" i="4"/>
  <c r="A95" i="4" s="1"/>
  <c r="B212" i="4"/>
  <c r="F236" i="4"/>
  <c r="C204" i="4"/>
  <c r="B204" i="4" s="1"/>
  <c r="C202" i="4"/>
  <c r="B202" i="4" s="1"/>
  <c r="B59" i="4" s="1"/>
  <c r="B90" i="6" s="1"/>
  <c r="B160" i="4"/>
  <c r="B158" i="4"/>
  <c r="C377" i="4"/>
  <c r="C376" i="4"/>
  <c r="C375" i="4"/>
  <c r="C371" i="4"/>
  <c r="C370" i="4"/>
  <c r="C369" i="4"/>
  <c r="C364" i="4"/>
  <c r="C365" i="4"/>
  <c r="C363" i="4"/>
  <c r="B377" i="4"/>
  <c r="B376" i="4"/>
  <c r="B375" i="4"/>
  <c r="B371" i="4"/>
  <c r="B370" i="4"/>
  <c r="B369" i="4"/>
  <c r="B365" i="4"/>
  <c r="B364" i="4"/>
  <c r="B363" i="4"/>
  <c r="B190" i="4"/>
  <c r="B178" i="4"/>
  <c r="F69" i="4"/>
  <c r="R127" i="4"/>
  <c r="R125" i="4"/>
  <c r="AH429" i="4"/>
  <c r="AG429" i="4"/>
  <c r="AF429" i="4"/>
  <c r="AE427" i="4"/>
  <c r="AE428" i="4"/>
  <c r="AD429" i="4"/>
  <c r="AC429" i="4"/>
  <c r="AB429" i="4"/>
  <c r="AA429" i="4"/>
  <c r="Z429" i="4"/>
  <c r="Y429" i="4"/>
  <c r="X429" i="4"/>
  <c r="W429" i="4"/>
  <c r="V429" i="4"/>
  <c r="U429" i="4"/>
  <c r="T429" i="4"/>
  <c r="S429" i="4"/>
  <c r="R427" i="4"/>
  <c r="R428" i="4"/>
  <c r="Q429" i="4"/>
  <c r="P429" i="4"/>
  <c r="O429" i="4"/>
  <c r="N429" i="4"/>
  <c r="M429" i="4"/>
  <c r="L429" i="4"/>
  <c r="K429" i="4"/>
  <c r="J429" i="4"/>
  <c r="I429" i="4"/>
  <c r="H429" i="4"/>
  <c r="G429" i="4"/>
  <c r="F429" i="4"/>
  <c r="F424" i="4"/>
  <c r="G424" i="4"/>
  <c r="H424" i="4"/>
  <c r="I424" i="4"/>
  <c r="J424" i="4"/>
  <c r="K424" i="4"/>
  <c r="L424" i="4"/>
  <c r="M424" i="4"/>
  <c r="N424" i="4"/>
  <c r="O424" i="4"/>
  <c r="P424" i="4"/>
  <c r="Q424" i="4"/>
  <c r="R422" i="4"/>
  <c r="R423" i="4"/>
  <c r="S424" i="4"/>
  <c r="T424" i="4"/>
  <c r="U424" i="4"/>
  <c r="V424" i="4"/>
  <c r="W424" i="4"/>
  <c r="X424" i="4"/>
  <c r="Y424" i="4"/>
  <c r="Z424" i="4"/>
  <c r="AA424" i="4"/>
  <c r="AB424" i="4"/>
  <c r="AC424" i="4"/>
  <c r="AD424" i="4"/>
  <c r="AE422" i="4"/>
  <c r="AE423" i="4"/>
  <c r="AF424" i="4"/>
  <c r="AG424" i="4"/>
  <c r="AH424" i="4"/>
  <c r="B402" i="4"/>
  <c r="AH401" i="4"/>
  <c r="AG401" i="4"/>
  <c r="AF401" i="4"/>
  <c r="AD401" i="4"/>
  <c r="AC401" i="4"/>
  <c r="AB401" i="4"/>
  <c r="AA401" i="4"/>
  <c r="Z401" i="4"/>
  <c r="Y401" i="4"/>
  <c r="X401" i="4"/>
  <c r="W401" i="4"/>
  <c r="V401" i="4"/>
  <c r="U401" i="4"/>
  <c r="T401" i="4"/>
  <c r="S401" i="4"/>
  <c r="Q401" i="4"/>
  <c r="P401" i="4"/>
  <c r="O401" i="4"/>
  <c r="N401" i="4"/>
  <c r="M401" i="4"/>
  <c r="L401" i="4"/>
  <c r="K401" i="4"/>
  <c r="J401" i="4"/>
  <c r="I401" i="4"/>
  <c r="H401" i="4"/>
  <c r="G401" i="4"/>
  <c r="F401" i="4"/>
  <c r="B401" i="4"/>
  <c r="B385" i="4"/>
  <c r="B360" i="4"/>
  <c r="B331" i="4"/>
  <c r="B293" i="4"/>
  <c r="B257" i="4"/>
  <c r="B228" i="4"/>
  <c r="B172" i="4"/>
  <c r="B122" i="4"/>
  <c r="B84" i="4"/>
  <c r="B49" i="4"/>
  <c r="B9" i="4"/>
  <c r="B57" i="4"/>
  <c r="B56" i="4"/>
  <c r="B87" i="6" s="1"/>
  <c r="AG384" i="4"/>
  <c r="AG359" i="4"/>
  <c r="AG330" i="4"/>
  <c r="AG292" i="4"/>
  <c r="AG256" i="4"/>
  <c r="AG227" i="4"/>
  <c r="AG171" i="4"/>
  <c r="AG121" i="4"/>
  <c r="AG83" i="4"/>
  <c r="AG48" i="4"/>
  <c r="F24" i="4"/>
  <c r="F25" i="4"/>
  <c r="F30" i="4"/>
  <c r="F34" i="4"/>
  <c r="F35" i="4"/>
  <c r="F40" i="4"/>
  <c r="R40" i="4" s="1"/>
  <c r="G34" i="4"/>
  <c r="H34" i="4"/>
  <c r="I34" i="4"/>
  <c r="J34" i="4"/>
  <c r="K34" i="4"/>
  <c r="L34" i="4"/>
  <c r="M34" i="4"/>
  <c r="N34" i="4"/>
  <c r="O34" i="4"/>
  <c r="P34" i="4"/>
  <c r="Q34" i="4"/>
  <c r="S34" i="4"/>
  <c r="AF384" i="4"/>
  <c r="AF359" i="4"/>
  <c r="AF330" i="4"/>
  <c r="AF292" i="4"/>
  <c r="AF256" i="4"/>
  <c r="AF227" i="4"/>
  <c r="AF171" i="4"/>
  <c r="AF121" i="4"/>
  <c r="AF83" i="4"/>
  <c r="AF48" i="4"/>
  <c r="A368" i="4"/>
  <c r="A305" i="4"/>
  <c r="B384" i="4"/>
  <c r="B359" i="4"/>
  <c r="B330" i="4"/>
  <c r="B292" i="4"/>
  <c r="B256" i="4"/>
  <c r="B227" i="4"/>
  <c r="B171" i="4"/>
  <c r="B121" i="4"/>
  <c r="B83" i="4"/>
  <c r="B48" i="4"/>
  <c r="B8" i="4"/>
  <c r="AE40" i="4"/>
  <c r="F48" i="4"/>
  <c r="G48" i="4"/>
  <c r="H48" i="4"/>
  <c r="I48" i="4"/>
  <c r="J48" i="4"/>
  <c r="K48" i="4"/>
  <c r="L48" i="4"/>
  <c r="M48" i="4"/>
  <c r="N48" i="4"/>
  <c r="O48" i="4"/>
  <c r="P48" i="4"/>
  <c r="Q48" i="4"/>
  <c r="S48" i="4"/>
  <c r="T48" i="4"/>
  <c r="U48" i="4"/>
  <c r="V48" i="4"/>
  <c r="W48" i="4"/>
  <c r="X48" i="4"/>
  <c r="Y48" i="4"/>
  <c r="Z48" i="4"/>
  <c r="AA48" i="4"/>
  <c r="AB48" i="4"/>
  <c r="AC48" i="4"/>
  <c r="AD48" i="4"/>
  <c r="AH48" i="4"/>
  <c r="B71" i="4"/>
  <c r="B100" i="6" s="1"/>
  <c r="F83" i="4"/>
  <c r="G83" i="4"/>
  <c r="H83" i="4"/>
  <c r="I83" i="4"/>
  <c r="J83" i="4"/>
  <c r="K83" i="4"/>
  <c r="L83" i="4"/>
  <c r="M83" i="4"/>
  <c r="N83" i="4"/>
  <c r="O83" i="4"/>
  <c r="P83" i="4"/>
  <c r="Q83" i="4"/>
  <c r="S83" i="4"/>
  <c r="T83" i="4"/>
  <c r="U83" i="4"/>
  <c r="V83" i="4"/>
  <c r="W83" i="4"/>
  <c r="X83" i="4"/>
  <c r="Y83" i="4"/>
  <c r="Z83" i="4"/>
  <c r="AA83" i="4"/>
  <c r="AB83" i="4"/>
  <c r="AC83" i="4"/>
  <c r="AD83" i="4"/>
  <c r="AH83" i="4"/>
  <c r="AE98" i="4"/>
  <c r="F121" i="4"/>
  <c r="G121" i="4"/>
  <c r="H121" i="4"/>
  <c r="I121" i="4"/>
  <c r="J121" i="4"/>
  <c r="K121" i="4"/>
  <c r="L121" i="4"/>
  <c r="M121" i="4"/>
  <c r="N121" i="4"/>
  <c r="O121" i="4"/>
  <c r="P121" i="4"/>
  <c r="Q121" i="4"/>
  <c r="S121" i="4"/>
  <c r="T121" i="4"/>
  <c r="U121" i="4"/>
  <c r="V121" i="4"/>
  <c r="W121" i="4"/>
  <c r="X121" i="4"/>
  <c r="Y121" i="4"/>
  <c r="Z121" i="4"/>
  <c r="AA121" i="4"/>
  <c r="AB121" i="4"/>
  <c r="AC121" i="4"/>
  <c r="AD121" i="4"/>
  <c r="AH121" i="4"/>
  <c r="R134" i="4"/>
  <c r="F171" i="4"/>
  <c r="G171" i="4"/>
  <c r="H171" i="4"/>
  <c r="I171" i="4"/>
  <c r="J171" i="4"/>
  <c r="K171" i="4"/>
  <c r="L171" i="4"/>
  <c r="M171" i="4"/>
  <c r="N171" i="4"/>
  <c r="O171" i="4"/>
  <c r="P171" i="4"/>
  <c r="Q171" i="4"/>
  <c r="S171" i="4"/>
  <c r="T171" i="4"/>
  <c r="U171" i="4"/>
  <c r="V171" i="4"/>
  <c r="W171" i="4"/>
  <c r="X171" i="4"/>
  <c r="Y171" i="4"/>
  <c r="Z171" i="4"/>
  <c r="AA171" i="4"/>
  <c r="AB171" i="4"/>
  <c r="AC171" i="4"/>
  <c r="AD171" i="4"/>
  <c r="AH171" i="4"/>
  <c r="B191" i="4"/>
  <c r="B192" i="4"/>
  <c r="F227" i="4"/>
  <c r="G227" i="4"/>
  <c r="H227" i="4"/>
  <c r="I227" i="4"/>
  <c r="J227" i="4"/>
  <c r="K227" i="4"/>
  <c r="L227" i="4"/>
  <c r="M227" i="4"/>
  <c r="N227" i="4"/>
  <c r="O227" i="4"/>
  <c r="P227" i="4"/>
  <c r="Q227" i="4"/>
  <c r="S227" i="4"/>
  <c r="T227" i="4"/>
  <c r="U227" i="4"/>
  <c r="V227" i="4"/>
  <c r="W227" i="4"/>
  <c r="X227" i="4"/>
  <c r="Y227" i="4"/>
  <c r="Z227" i="4"/>
  <c r="AA227" i="4"/>
  <c r="AB227" i="4"/>
  <c r="AC227" i="4"/>
  <c r="AD227" i="4"/>
  <c r="AH227" i="4"/>
  <c r="F256" i="4"/>
  <c r="G256" i="4"/>
  <c r="H256" i="4"/>
  <c r="I256" i="4"/>
  <c r="J256" i="4"/>
  <c r="K256" i="4"/>
  <c r="L256" i="4"/>
  <c r="M256" i="4"/>
  <c r="N256" i="4"/>
  <c r="O256" i="4"/>
  <c r="P256" i="4"/>
  <c r="Q256" i="4"/>
  <c r="S256" i="4"/>
  <c r="T256" i="4"/>
  <c r="U256" i="4"/>
  <c r="V256" i="4"/>
  <c r="W256" i="4"/>
  <c r="X256" i="4"/>
  <c r="Y256" i="4"/>
  <c r="Z256" i="4"/>
  <c r="AA256" i="4"/>
  <c r="AB256" i="4"/>
  <c r="AC256" i="4"/>
  <c r="AD256" i="4"/>
  <c r="AH256" i="4"/>
  <c r="F292" i="4"/>
  <c r="G292" i="4"/>
  <c r="H292" i="4"/>
  <c r="I292" i="4"/>
  <c r="J292" i="4"/>
  <c r="K292" i="4"/>
  <c r="L292" i="4"/>
  <c r="M292" i="4"/>
  <c r="N292" i="4"/>
  <c r="O292" i="4"/>
  <c r="P292" i="4"/>
  <c r="Q292" i="4"/>
  <c r="S292" i="4"/>
  <c r="T292" i="4"/>
  <c r="U292" i="4"/>
  <c r="V292" i="4"/>
  <c r="W292" i="4"/>
  <c r="X292" i="4"/>
  <c r="Y292" i="4"/>
  <c r="Z292" i="4"/>
  <c r="AA292" i="4"/>
  <c r="AB292" i="4"/>
  <c r="AC292" i="4"/>
  <c r="AD292" i="4"/>
  <c r="AH292" i="4"/>
  <c r="B306" i="4"/>
  <c r="B307" i="4"/>
  <c r="B308" i="4"/>
  <c r="B309" i="4"/>
  <c r="B316" i="4"/>
  <c r="B318" i="4"/>
  <c r="B319" i="4"/>
  <c r="B321" i="4"/>
  <c r="F330" i="4"/>
  <c r="G330" i="4"/>
  <c r="H330" i="4"/>
  <c r="I330" i="4"/>
  <c r="J330" i="4"/>
  <c r="K330" i="4"/>
  <c r="L330" i="4"/>
  <c r="M330" i="4"/>
  <c r="N330" i="4"/>
  <c r="O330" i="4"/>
  <c r="P330" i="4"/>
  <c r="Q330" i="4"/>
  <c r="S330" i="4"/>
  <c r="T330" i="4"/>
  <c r="U330" i="4"/>
  <c r="V330" i="4"/>
  <c r="W330" i="4"/>
  <c r="X330" i="4"/>
  <c r="Y330" i="4"/>
  <c r="Z330" i="4"/>
  <c r="AA330" i="4"/>
  <c r="AB330" i="4"/>
  <c r="AC330" i="4"/>
  <c r="AD330" i="4"/>
  <c r="AH330" i="4"/>
  <c r="F359" i="4"/>
  <c r="G359" i="4"/>
  <c r="H359" i="4"/>
  <c r="I359" i="4"/>
  <c r="J359" i="4"/>
  <c r="K359" i="4"/>
  <c r="L359" i="4"/>
  <c r="M359" i="4"/>
  <c r="N359" i="4"/>
  <c r="O359" i="4"/>
  <c r="P359" i="4"/>
  <c r="Q359" i="4"/>
  <c r="S359" i="4"/>
  <c r="T359" i="4"/>
  <c r="U359" i="4"/>
  <c r="V359" i="4"/>
  <c r="W359" i="4"/>
  <c r="X359" i="4"/>
  <c r="Y359" i="4"/>
  <c r="Z359" i="4"/>
  <c r="AA359" i="4"/>
  <c r="AB359" i="4"/>
  <c r="AC359" i="4"/>
  <c r="AD359" i="4"/>
  <c r="AH359" i="4"/>
  <c r="F384" i="4"/>
  <c r="G384" i="4"/>
  <c r="H384" i="4"/>
  <c r="I384" i="4"/>
  <c r="J384" i="4"/>
  <c r="K384" i="4"/>
  <c r="L384" i="4"/>
  <c r="M384" i="4"/>
  <c r="N384" i="4"/>
  <c r="O384" i="4"/>
  <c r="P384" i="4"/>
  <c r="Q384" i="4"/>
  <c r="S384" i="4"/>
  <c r="T384" i="4"/>
  <c r="U384" i="4"/>
  <c r="V384" i="4"/>
  <c r="W384" i="4"/>
  <c r="X384" i="4"/>
  <c r="Y384" i="4"/>
  <c r="Z384" i="4"/>
  <c r="AA384" i="4"/>
  <c r="AB384" i="4"/>
  <c r="AC384" i="4"/>
  <c r="AD384" i="4"/>
  <c r="AH384" i="4"/>
  <c r="F51" i="4"/>
  <c r="R51" i="4" s="1"/>
  <c r="C82" i="6" s="1"/>
  <c r="T25" i="4"/>
  <c r="T26" i="4"/>
  <c r="U25" i="4"/>
  <c r="U26" i="4"/>
  <c r="V25" i="4"/>
  <c r="V26" i="4"/>
  <c r="W25" i="4"/>
  <c r="W26" i="4"/>
  <c r="X25" i="4"/>
  <c r="X26" i="4"/>
  <c r="Y25" i="4"/>
  <c r="Y26" i="4"/>
  <c r="Z25" i="4"/>
  <c r="Z26" i="4"/>
  <c r="AA25" i="4"/>
  <c r="AA26" i="4"/>
  <c r="AB25" i="4"/>
  <c r="AB26" i="4"/>
  <c r="AC25" i="4"/>
  <c r="AC26" i="4"/>
  <c r="AD25" i="4"/>
  <c r="AD26" i="4"/>
  <c r="S26" i="4"/>
  <c r="G26" i="4"/>
  <c r="H24" i="4"/>
  <c r="H25" i="4"/>
  <c r="I26" i="4"/>
  <c r="J24" i="4"/>
  <c r="J25" i="4"/>
  <c r="J26" i="4"/>
  <c r="K24" i="4"/>
  <c r="K25" i="4"/>
  <c r="K26" i="4"/>
  <c r="L24" i="4"/>
  <c r="L25" i="4"/>
  <c r="L26" i="4"/>
  <c r="M24" i="4"/>
  <c r="M25" i="4"/>
  <c r="M26" i="4"/>
  <c r="N24" i="4"/>
  <c r="N25" i="4"/>
  <c r="N26" i="4"/>
  <c r="O24" i="4"/>
  <c r="O25" i="4"/>
  <c r="O26" i="4"/>
  <c r="P24" i="4"/>
  <c r="P25" i="4"/>
  <c r="P26" i="4"/>
  <c r="Q24" i="4"/>
  <c r="Q25" i="4"/>
  <c r="Q26" i="4"/>
  <c r="I24" i="4"/>
  <c r="G24" i="4"/>
  <c r="S24" i="4"/>
  <c r="I25" i="4"/>
  <c r="G25" i="4"/>
  <c r="S25" i="4"/>
  <c r="H26" i="4"/>
  <c r="F26" i="4"/>
  <c r="T34" i="4"/>
  <c r="U34" i="4"/>
  <c r="V34" i="4"/>
  <c r="W34" i="4"/>
  <c r="X34" i="4"/>
  <c r="Y34" i="4"/>
  <c r="Z34" i="4"/>
  <c r="AA34" i="4"/>
  <c r="AB34" i="4"/>
  <c r="AC34" i="4"/>
  <c r="AD34" i="4"/>
  <c r="AF34" i="4"/>
  <c r="B22" i="6"/>
  <c r="B21" i="6"/>
  <c r="B20" i="6"/>
  <c r="B103" i="6"/>
  <c r="B94" i="6"/>
  <c r="B101" i="6"/>
  <c r="B102" i="6"/>
  <c r="B104" i="6"/>
  <c r="B93" i="6"/>
  <c r="B95" i="6"/>
  <c r="B65" i="6"/>
  <c r="B31" i="6"/>
  <c r="B43" i="6"/>
  <c r="B44" i="6"/>
  <c r="B71" i="6"/>
  <c r="B72" i="6"/>
  <c r="B73" i="6"/>
  <c r="B85" i="6"/>
  <c r="B86" i="6"/>
  <c r="B88" i="6"/>
  <c r="B59" i="6"/>
  <c r="B60" i="6"/>
  <c r="R156" i="4"/>
  <c r="A314" i="4"/>
  <c r="G300" i="4"/>
  <c r="G321" i="4"/>
  <c r="G307" i="4"/>
  <c r="G301" i="4"/>
  <c r="S415" i="4"/>
  <c r="X415" i="4"/>
  <c r="AC415" i="4"/>
  <c r="Z415" i="4"/>
  <c r="AB415" i="4"/>
  <c r="H327" i="4"/>
  <c r="H309" i="4" s="1"/>
  <c r="B248" i="4"/>
  <c r="A108" i="4"/>
  <c r="O7" i="11"/>
  <c r="A170" i="4"/>
  <c r="B241" i="4"/>
  <c r="A47" i="4"/>
  <c r="A400" i="4"/>
  <c r="F341" i="4"/>
  <c r="O415" i="4"/>
  <c r="M415" i="4"/>
  <c r="K415" i="4"/>
  <c r="I415" i="4"/>
  <c r="G415" i="4"/>
  <c r="F9" i="4"/>
  <c r="F360" i="4"/>
  <c r="F402" i="4"/>
  <c r="B249" i="4"/>
  <c r="N415" i="4"/>
  <c r="A383" i="4"/>
  <c r="AH17" i="4"/>
  <c r="G28" i="6"/>
  <c r="G57" i="4"/>
  <c r="AB7" i="11"/>
  <c r="J415" i="4"/>
  <c r="G17" i="4"/>
  <c r="E28" i="6"/>
  <c r="F212" i="4"/>
  <c r="F160" i="4" s="1"/>
  <c r="P415" i="4"/>
  <c r="L415" i="4"/>
  <c r="H415" i="4"/>
  <c r="AO33" i="15" l="1"/>
  <c r="AO34" i="15"/>
  <c r="F348" i="4"/>
  <c r="F375" i="4" s="1"/>
  <c r="AF415" i="4"/>
  <c r="F343" i="4"/>
  <c r="AH34" i="4"/>
  <c r="F114" i="4"/>
  <c r="AP30" i="15"/>
  <c r="AP29" i="15"/>
  <c r="AP36" i="15" s="1"/>
  <c r="AP28" i="15"/>
  <c r="AP35" i="15" s="1"/>
  <c r="AP27" i="15"/>
  <c r="AP34" i="15" s="1"/>
  <c r="AP26" i="15"/>
  <c r="AP33" i="15" s="1"/>
  <c r="G218" i="4"/>
  <c r="G68" i="4" s="1"/>
  <c r="F15" i="4"/>
  <c r="F103" i="4"/>
  <c r="F342" i="4"/>
  <c r="F370" i="4" s="1"/>
  <c r="H219" i="4"/>
  <c r="H69" i="4" s="1"/>
  <c r="R424" i="4"/>
  <c r="F102" i="4"/>
  <c r="F137" i="4"/>
  <c r="F115" i="4"/>
  <c r="G390" i="4"/>
  <c r="AQ23" i="15"/>
  <c r="B55" i="6"/>
  <c r="H249" i="4"/>
  <c r="H90" i="4" s="1"/>
  <c r="H310" i="4"/>
  <c r="AG34" i="4"/>
  <c r="R429" i="4"/>
  <c r="R26" i="4"/>
  <c r="R34" i="4"/>
  <c r="AG127" i="4"/>
  <c r="AF25" i="4"/>
  <c r="I262" i="4"/>
  <c r="J262" i="4" s="1"/>
  <c r="K262" i="4" s="1"/>
  <c r="H298" i="4"/>
  <c r="H297" i="4"/>
  <c r="H301" i="4"/>
  <c r="F336" i="4"/>
  <c r="F365" i="4" s="1"/>
  <c r="G297" i="4"/>
  <c r="G302" i="4"/>
  <c r="G316" i="4"/>
  <c r="H296" i="4"/>
  <c r="F334" i="4"/>
  <c r="F363" i="4" s="1"/>
  <c r="G310" i="4"/>
  <c r="G311" i="4"/>
  <c r="G298" i="4"/>
  <c r="G318" i="4"/>
  <c r="F56" i="4"/>
  <c r="G248" i="4"/>
  <c r="G89" i="4" s="1"/>
  <c r="F92" i="4"/>
  <c r="F141" i="4" s="1"/>
  <c r="G276" i="4"/>
  <c r="G109" i="4" s="1"/>
  <c r="G113" i="4" s="1"/>
  <c r="F288" i="4"/>
  <c r="F388" i="4" s="1"/>
  <c r="F144" i="4" s="1"/>
  <c r="G30" i="4" s="1"/>
  <c r="G306" i="4"/>
  <c r="G309" i="4"/>
  <c r="G296" i="4"/>
  <c r="G267" i="4"/>
  <c r="G335" i="4" s="1"/>
  <c r="I282" i="4"/>
  <c r="J282" i="4" s="1"/>
  <c r="L282" i="4" s="1"/>
  <c r="M282" i="4" s="1"/>
  <c r="N282" i="4" s="1"/>
  <c r="O282" i="4" s="1"/>
  <c r="P282" i="4" s="1"/>
  <c r="Q282" i="4" s="1"/>
  <c r="R282" i="4" s="1"/>
  <c r="T282" i="4" s="1"/>
  <c r="U282" i="4" s="1"/>
  <c r="V282" i="4" s="1"/>
  <c r="W282" i="4" s="1"/>
  <c r="X282" i="4" s="1"/>
  <c r="Y282" i="4" s="1"/>
  <c r="Z282" i="4" s="1"/>
  <c r="AA282" i="4" s="1"/>
  <c r="AB282" i="4" s="1"/>
  <c r="AC282" i="4" s="1"/>
  <c r="AD282" i="4" s="1"/>
  <c r="AE282" i="4" s="1"/>
  <c r="H318" i="4"/>
  <c r="F75" i="4"/>
  <c r="I285" i="4"/>
  <c r="J285" i="4" s="1"/>
  <c r="K285" i="4" s="1"/>
  <c r="L285" i="4" s="1"/>
  <c r="M285" i="4" s="1"/>
  <c r="N285" i="4" s="1"/>
  <c r="O285" i="4" s="1"/>
  <c r="P285" i="4" s="1"/>
  <c r="Q285" i="4" s="1"/>
  <c r="R285" i="4" s="1"/>
  <c r="T285" i="4" s="1"/>
  <c r="U285" i="4" s="1"/>
  <c r="V285" i="4" s="1"/>
  <c r="W285" i="4" s="1"/>
  <c r="X285" i="4" s="1"/>
  <c r="Y285" i="4" s="1"/>
  <c r="Z285" i="4" s="1"/>
  <c r="AA285" i="4" s="1"/>
  <c r="AB285" i="4" s="1"/>
  <c r="AC285" i="4" s="1"/>
  <c r="AD285" i="4" s="1"/>
  <c r="AE285" i="4" s="1"/>
  <c r="AF285" i="4" s="1"/>
  <c r="AH285" i="4" s="1"/>
  <c r="H321" i="4"/>
  <c r="I284" i="4"/>
  <c r="J284" i="4" s="1"/>
  <c r="L284" i="4" s="1"/>
  <c r="M284" i="4" s="1"/>
  <c r="N284" i="4" s="1"/>
  <c r="O284" i="4" s="1"/>
  <c r="P284" i="4" s="1"/>
  <c r="Q284" i="4" s="1"/>
  <c r="R284" i="4" s="1"/>
  <c r="T284" i="4" s="1"/>
  <c r="U284" i="4" s="1"/>
  <c r="H320" i="4"/>
  <c r="F64" i="4"/>
  <c r="R25" i="4"/>
  <c r="E215" i="4"/>
  <c r="F101" i="4"/>
  <c r="AE424" i="4"/>
  <c r="R128" i="4"/>
  <c r="G207" i="4"/>
  <c r="B88" i="4"/>
  <c r="B13" i="6" s="1"/>
  <c r="A295" i="4"/>
  <c r="B247" i="4"/>
  <c r="F322" i="4"/>
  <c r="F133" i="4" s="1"/>
  <c r="F135" i="4" s="1"/>
  <c r="H270" i="4"/>
  <c r="H306" i="4" s="1"/>
  <c r="F312" i="4"/>
  <c r="F110" i="4" s="1"/>
  <c r="G315" i="4"/>
  <c r="F349" i="4"/>
  <c r="F376" i="4" s="1"/>
  <c r="F303" i="4"/>
  <c r="F97" i="4" s="1"/>
  <c r="I266" i="4"/>
  <c r="J266" i="4" s="1"/>
  <c r="K266" i="4" s="1"/>
  <c r="L266" i="4" s="1"/>
  <c r="M266" i="4" s="1"/>
  <c r="N266" i="4" s="1"/>
  <c r="O266" i="4" s="1"/>
  <c r="P266" i="4" s="1"/>
  <c r="Q266" i="4" s="1"/>
  <c r="R266" i="4" s="1"/>
  <c r="AE266" i="4" s="1"/>
  <c r="AF266" i="4" s="1"/>
  <c r="AG266" i="4" s="1"/>
  <c r="AH266" i="4" s="1"/>
  <c r="H302" i="4"/>
  <c r="H263" i="4"/>
  <c r="H267" i="4" s="1"/>
  <c r="G299" i="4"/>
  <c r="I271" i="4"/>
  <c r="H307" i="4"/>
  <c r="F371" i="4"/>
  <c r="A347" i="4"/>
  <c r="A131" i="4"/>
  <c r="A374" i="4"/>
  <c r="AG415" i="4"/>
  <c r="V415" i="4"/>
  <c r="AD415" i="4"/>
  <c r="AA415" i="4"/>
  <c r="Y415" i="4"/>
  <c r="AH415" i="4"/>
  <c r="U415" i="4"/>
  <c r="T415" i="4"/>
  <c r="W415" i="4"/>
  <c r="A226" i="4"/>
  <c r="B1" i="2"/>
  <c r="A6" i="6"/>
  <c r="A358" i="4"/>
  <c r="A120" i="4"/>
  <c r="A7" i="4"/>
  <c r="A82" i="4"/>
  <c r="A291" i="4"/>
  <c r="A329" i="4"/>
  <c r="A255" i="4"/>
  <c r="B91" i="4"/>
  <c r="B16" i="6" s="1"/>
  <c r="B243" i="4"/>
  <c r="F251" i="4"/>
  <c r="G1" i="4"/>
  <c r="G293" i="4" s="1"/>
  <c r="F228" i="4"/>
  <c r="F122" i="4"/>
  <c r="F84" i="4"/>
  <c r="F172" i="4"/>
  <c r="AG17" i="4"/>
  <c r="F28" i="6"/>
  <c r="G319" i="4"/>
  <c r="AE25" i="4"/>
  <c r="AE34" i="4"/>
  <c r="B87" i="4"/>
  <c r="B12" i="6" s="1"/>
  <c r="B246" i="4"/>
  <c r="G250" i="4"/>
  <c r="G91" i="4" s="1"/>
  <c r="R232" i="4"/>
  <c r="E25" i="3" s="1"/>
  <c r="F350" i="4"/>
  <c r="F352" i="4" s="1" a="1"/>
  <c r="F352" i="4" s="1"/>
  <c r="G212" i="4"/>
  <c r="G64" i="4" s="1"/>
  <c r="F335" i="4"/>
  <c r="I327" i="4"/>
  <c r="I309" i="4" s="1"/>
  <c r="H315" i="4"/>
  <c r="H311" i="4"/>
  <c r="H316" i="4"/>
  <c r="A362" i="4"/>
  <c r="R24" i="4"/>
  <c r="A333" i="4"/>
  <c r="B60" i="4"/>
  <c r="B91" i="6" s="1"/>
  <c r="B56" i="6"/>
  <c r="F136" i="4"/>
  <c r="F138" i="4"/>
  <c r="I264" i="4"/>
  <c r="H300" i="4"/>
  <c r="H272" i="4"/>
  <c r="G308" i="4"/>
  <c r="G317" i="4"/>
  <c r="G286" i="4"/>
  <c r="H246" i="4"/>
  <c r="H87" i="4" s="1"/>
  <c r="G236" i="4"/>
  <c r="AE26" i="4"/>
  <c r="F113" i="4"/>
  <c r="AE429" i="4"/>
  <c r="G246" i="4"/>
  <c r="G87" i="4" s="1"/>
  <c r="G249" i="4"/>
  <c r="G90" i="4" s="1"/>
  <c r="E288" i="4"/>
  <c r="E197" i="4"/>
  <c r="E220" i="4" s="1"/>
  <c r="E221" i="4" s="1"/>
  <c r="E223" i="4" s="1"/>
  <c r="B179" i="4"/>
  <c r="H207" i="4"/>
  <c r="F345" i="4" a="1"/>
  <c r="F345" i="4" s="1"/>
  <c r="B90" i="4"/>
  <c r="B15" i="6" s="1"/>
  <c r="Q415" i="4"/>
  <c r="F369" i="4"/>
  <c r="R415" i="4"/>
  <c r="B239" i="4"/>
  <c r="B57" i="6"/>
  <c r="B61" i="4"/>
  <c r="B92" i="6" s="1"/>
  <c r="Y273" i="4"/>
  <c r="AF26" i="4"/>
  <c r="AG126" i="4"/>
  <c r="V284" i="4"/>
  <c r="V280" i="4"/>
  <c r="R233" i="4"/>
  <c r="E26" i="3" s="1"/>
  <c r="H248" i="4"/>
  <c r="AG25" i="4"/>
  <c r="AH127" i="4"/>
  <c r="AH25" i="4" s="1"/>
  <c r="L262" i="4"/>
  <c r="I321" i="4"/>
  <c r="I298" i="4"/>
  <c r="L274" i="4"/>
  <c r="H247" i="4"/>
  <c r="G88" i="4"/>
  <c r="H57" i="4"/>
  <c r="I219" i="4"/>
  <c r="I249" i="4"/>
  <c r="F17" i="4"/>
  <c r="R17" i="4" s="1"/>
  <c r="R157" i="4"/>
  <c r="C28" i="6" s="1"/>
  <c r="U17" i="4"/>
  <c r="AE17" i="4" s="1"/>
  <c r="AE157" i="4"/>
  <c r="D28" i="6" s="1"/>
  <c r="H326" i="4"/>
  <c r="F68" i="4"/>
  <c r="G9" i="4"/>
  <c r="H1" i="4"/>
  <c r="F331" i="4"/>
  <c r="F49" i="4"/>
  <c r="F385" i="4"/>
  <c r="F293" i="4"/>
  <c r="F257" i="4"/>
  <c r="AP37" i="15" l="1"/>
  <c r="I270" i="4"/>
  <c r="F184" i="4"/>
  <c r="G343" i="4"/>
  <c r="G371" i="4" s="1"/>
  <c r="F344" i="4"/>
  <c r="F185" i="4"/>
  <c r="G28" i="4"/>
  <c r="G56" i="4"/>
  <c r="G15" i="4"/>
  <c r="H218" i="4"/>
  <c r="H15" i="4" s="1"/>
  <c r="AQ30" i="15"/>
  <c r="AQ29" i="15"/>
  <c r="AQ36" i="15" s="1"/>
  <c r="AQ28" i="15"/>
  <c r="AQ35" i="15" s="1"/>
  <c r="AQ27" i="15"/>
  <c r="AQ34" i="15" s="1"/>
  <c r="AQ26" i="15"/>
  <c r="AQ33" i="15" s="1"/>
  <c r="G303" i="4"/>
  <c r="G97" i="4" s="1"/>
  <c r="F178" i="4"/>
  <c r="F179" i="4" s="1"/>
  <c r="F180" i="4" s="1"/>
  <c r="F205" i="4" s="1"/>
  <c r="F407" i="4" s="1"/>
  <c r="F139" i="4"/>
  <c r="F33" i="4" s="1"/>
  <c r="AQ37" i="15"/>
  <c r="F106" i="4"/>
  <c r="G251" i="4"/>
  <c r="G341" i="4"/>
  <c r="G369" i="4" s="1"/>
  <c r="G342" i="4"/>
  <c r="G370" i="4" s="1"/>
  <c r="G336" i="4"/>
  <c r="G365" i="4" s="1"/>
  <c r="G96" i="4"/>
  <c r="G102" i="4" s="1"/>
  <c r="G334" i="4"/>
  <c r="G363" i="4" s="1"/>
  <c r="H334" i="4"/>
  <c r="AF282" i="4"/>
  <c r="AG282" i="4" s="1"/>
  <c r="AH282" i="4" s="1"/>
  <c r="G29" i="4"/>
  <c r="G115" i="4"/>
  <c r="H96" i="4"/>
  <c r="H103" i="4" s="1"/>
  <c r="F324" i="4"/>
  <c r="F203" i="4" s="1"/>
  <c r="F143" i="4"/>
  <c r="G32" i="4" s="1"/>
  <c r="F391" i="4"/>
  <c r="H390" i="4"/>
  <c r="AR23" i="15"/>
  <c r="G99" i="4"/>
  <c r="I301" i="4"/>
  <c r="I320" i="4"/>
  <c r="H336" i="4"/>
  <c r="I316" i="4"/>
  <c r="I315" i="4"/>
  <c r="J327" i="4"/>
  <c r="J310" i="4" s="1"/>
  <c r="H335" i="4"/>
  <c r="I297" i="4"/>
  <c r="I296" i="4"/>
  <c r="I306" i="4"/>
  <c r="F118" i="4"/>
  <c r="I318" i="4"/>
  <c r="F147" i="4"/>
  <c r="G322" i="4"/>
  <c r="G133" i="4" s="1"/>
  <c r="G135" i="4" s="1"/>
  <c r="F129" i="4"/>
  <c r="G364" i="4"/>
  <c r="F153" i="4"/>
  <c r="F167" i="4"/>
  <c r="F186" i="4"/>
  <c r="F187" i="4" s="1"/>
  <c r="F150" i="4"/>
  <c r="F111" i="4"/>
  <c r="G312" i="4"/>
  <c r="G110" i="4" s="1"/>
  <c r="G331" i="4"/>
  <c r="G228" i="4"/>
  <c r="G385" i="4"/>
  <c r="G122" i="4"/>
  <c r="G257" i="4"/>
  <c r="G360" i="4"/>
  <c r="G172" i="4"/>
  <c r="G49" i="4"/>
  <c r="G84" i="4"/>
  <c r="G402" i="4"/>
  <c r="G27" i="4"/>
  <c r="AE415" i="4"/>
  <c r="G132" i="4"/>
  <c r="G348" i="4"/>
  <c r="G349" i="4"/>
  <c r="G350" i="4"/>
  <c r="I302" i="4"/>
  <c r="F337" i="4"/>
  <c r="R235" i="4"/>
  <c r="E28" i="3" s="1"/>
  <c r="H212" i="4"/>
  <c r="H75" i="4" s="1"/>
  <c r="G160" i="4"/>
  <c r="F338" i="4" a="1"/>
  <c r="F338" i="4" s="1"/>
  <c r="F355" i="4" s="1"/>
  <c r="F408" i="4" s="1"/>
  <c r="F414" i="4" s="1"/>
  <c r="F206" i="4" s="1"/>
  <c r="H319" i="4"/>
  <c r="H308" i="4"/>
  <c r="H312" i="4" s="1"/>
  <c r="I272" i="4"/>
  <c r="I276" i="4" s="1"/>
  <c r="G288" i="4"/>
  <c r="A37" i="6"/>
  <c r="A77" i="6"/>
  <c r="H276" i="4"/>
  <c r="G75" i="4"/>
  <c r="H286" i="4"/>
  <c r="H317" i="4"/>
  <c r="J264" i="4"/>
  <c r="K264" i="4" s="1"/>
  <c r="L264" i="4" s="1"/>
  <c r="M264" i="4" s="1"/>
  <c r="I300" i="4"/>
  <c r="F377" i="4"/>
  <c r="F378" i="4" s="1"/>
  <c r="F145" i="4" s="1"/>
  <c r="G114" i="4"/>
  <c r="J270" i="4"/>
  <c r="I307" i="4"/>
  <c r="J271" i="4"/>
  <c r="I263" i="4"/>
  <c r="H299" i="4"/>
  <c r="H303" i="4" s="1"/>
  <c r="H97" i="4" s="1"/>
  <c r="F364" i="4"/>
  <c r="F191" i="4" s="1"/>
  <c r="H236" i="4"/>
  <c r="I311" i="4"/>
  <c r="I310" i="4"/>
  <c r="H250" i="4"/>
  <c r="H91" i="4" s="1"/>
  <c r="F351" i="4"/>
  <c r="F190" i="4"/>
  <c r="F372" i="4"/>
  <c r="F116" i="4" s="1"/>
  <c r="I207" i="4"/>
  <c r="G92" i="4"/>
  <c r="L260" i="4"/>
  <c r="I248" i="4"/>
  <c r="I89" i="4" s="1"/>
  <c r="Z273" i="4"/>
  <c r="I326" i="4"/>
  <c r="I69" i="4"/>
  <c r="I57" i="4"/>
  <c r="J219" i="4"/>
  <c r="H88" i="4"/>
  <c r="M262" i="4"/>
  <c r="H89" i="4"/>
  <c r="W284" i="4"/>
  <c r="I247" i="4"/>
  <c r="M274" i="4"/>
  <c r="W280" i="4"/>
  <c r="J249" i="4"/>
  <c r="J90" i="4" s="1"/>
  <c r="I90" i="4"/>
  <c r="F99" i="4"/>
  <c r="J309" i="4"/>
  <c r="J321" i="4"/>
  <c r="J302" i="4"/>
  <c r="J301" i="4"/>
  <c r="J311" i="4"/>
  <c r="J298" i="4"/>
  <c r="J316" i="4"/>
  <c r="J296" i="4"/>
  <c r="J297" i="4"/>
  <c r="AG26" i="4"/>
  <c r="H172" i="4"/>
  <c r="H402" i="4"/>
  <c r="H9" i="4"/>
  <c r="H228" i="4"/>
  <c r="H385" i="4"/>
  <c r="H257" i="4"/>
  <c r="H84" i="4"/>
  <c r="H360" i="4"/>
  <c r="H331" i="4"/>
  <c r="I1" i="4"/>
  <c r="H293" i="4"/>
  <c r="H49" i="4"/>
  <c r="H122" i="4"/>
  <c r="G338" i="4" l="1" a="1"/>
  <c r="G338" i="4" s="1"/>
  <c r="H101" i="4"/>
  <c r="G372" i="4"/>
  <c r="G116" i="4" s="1"/>
  <c r="G101" i="4"/>
  <c r="H68" i="4"/>
  <c r="I218" i="4"/>
  <c r="H56" i="4"/>
  <c r="AR30" i="15"/>
  <c r="AR37" i="15" s="1"/>
  <c r="AR29" i="15"/>
  <c r="AR36" i="15" s="1"/>
  <c r="AR28" i="15"/>
  <c r="AR35" i="15" s="1"/>
  <c r="AR27" i="15"/>
  <c r="AR34" i="15" s="1"/>
  <c r="AR26" i="15"/>
  <c r="AR33" i="15" s="1"/>
  <c r="F73" i="4"/>
  <c r="F14" i="4"/>
  <c r="F413" i="4"/>
  <c r="F416" i="4" s="1"/>
  <c r="F62" i="4"/>
  <c r="F158" i="4"/>
  <c r="F71" i="4"/>
  <c r="G345" i="4" a="1"/>
  <c r="G345" i="4" s="1"/>
  <c r="G344" i="4"/>
  <c r="H251" i="4"/>
  <c r="H102" i="4"/>
  <c r="G337" i="4"/>
  <c r="G103" i="4"/>
  <c r="H365" i="4"/>
  <c r="H363" i="4"/>
  <c r="H338" i="4" a="1"/>
  <c r="H338" i="4" s="1"/>
  <c r="G366" i="4"/>
  <c r="G104" i="4" s="1"/>
  <c r="G105" i="4" s="1"/>
  <c r="F366" i="4"/>
  <c r="F104" i="4" s="1"/>
  <c r="F142" i="4"/>
  <c r="F31" i="4"/>
  <c r="I390" i="4"/>
  <c r="AS23" i="15"/>
  <c r="H364" i="4"/>
  <c r="G186" i="4"/>
  <c r="J315" i="4"/>
  <c r="J318" i="4"/>
  <c r="J320" i="4"/>
  <c r="K327" i="4"/>
  <c r="K296" i="4" s="1"/>
  <c r="H337" i="4"/>
  <c r="J306" i="4"/>
  <c r="H322" i="4"/>
  <c r="H133" i="4" s="1"/>
  <c r="H135" i="4" s="1"/>
  <c r="F23" i="4"/>
  <c r="F112" i="4"/>
  <c r="F117" i="4" s="1"/>
  <c r="G324" i="4"/>
  <c r="G203" i="4" s="1"/>
  <c r="G60" i="4" s="1"/>
  <c r="F354" i="4"/>
  <c r="AE235" i="4"/>
  <c r="F28" i="3" s="1"/>
  <c r="G377" i="4"/>
  <c r="F192" i="4"/>
  <c r="F211" i="4"/>
  <c r="F74" i="4" s="1"/>
  <c r="H110" i="4"/>
  <c r="I236" i="4"/>
  <c r="I246" i="4"/>
  <c r="I87" i="4" s="1"/>
  <c r="J300" i="4"/>
  <c r="J263" i="4"/>
  <c r="I267" i="4"/>
  <c r="I299" i="4"/>
  <c r="I303" i="4" s="1"/>
  <c r="I97" i="4" s="1"/>
  <c r="I343" i="4"/>
  <c r="I109" i="4"/>
  <c r="I115" i="4" s="1"/>
  <c r="I342" i="4"/>
  <c r="I341" i="4"/>
  <c r="G137" i="4"/>
  <c r="H28" i="4" s="1"/>
  <c r="G138" i="4"/>
  <c r="G136" i="4"/>
  <c r="I250" i="4"/>
  <c r="I91" i="4" s="1"/>
  <c r="J307" i="4"/>
  <c r="K306" i="4"/>
  <c r="H132" i="4"/>
  <c r="H350" i="4"/>
  <c r="H377" i="4" s="1"/>
  <c r="H348" i="4"/>
  <c r="H375" i="4" s="1"/>
  <c r="H349" i="4"/>
  <c r="H376" i="4" s="1"/>
  <c r="G388" i="4"/>
  <c r="H64" i="4"/>
  <c r="I212" i="4"/>
  <c r="I64" i="4" s="1"/>
  <c r="H160" i="4"/>
  <c r="G376" i="4"/>
  <c r="G191" i="4" s="1"/>
  <c r="G185" i="4"/>
  <c r="H92" i="4"/>
  <c r="H139" i="4" s="1"/>
  <c r="H33" i="4" s="1"/>
  <c r="I317" i="4"/>
  <c r="I286" i="4"/>
  <c r="H341" i="4"/>
  <c r="H109" i="4"/>
  <c r="H115" i="4" s="1"/>
  <c r="H343" i="4"/>
  <c r="H288" i="4"/>
  <c r="H342" i="4"/>
  <c r="J272" i="4"/>
  <c r="I308" i="4"/>
  <c r="I312" i="4" s="1"/>
  <c r="I110" i="4" s="1"/>
  <c r="I319" i="4"/>
  <c r="G351" i="4"/>
  <c r="G352" i="4" a="1"/>
  <c r="G352" i="4" s="1"/>
  <c r="G184" i="4"/>
  <c r="G375" i="4"/>
  <c r="J207" i="4"/>
  <c r="L279" i="4"/>
  <c r="N264" i="4"/>
  <c r="J247" i="4"/>
  <c r="G139" i="4"/>
  <c r="G118" i="4"/>
  <c r="G141" i="4"/>
  <c r="G106" i="4"/>
  <c r="G153" i="4"/>
  <c r="G111" i="4"/>
  <c r="G167" i="4"/>
  <c r="G150" i="4"/>
  <c r="G178" i="4"/>
  <c r="G179" i="4" s="1"/>
  <c r="G180" i="4" s="1"/>
  <c r="G129" i="4"/>
  <c r="G147" i="4"/>
  <c r="I88" i="4"/>
  <c r="F72" i="4"/>
  <c r="F37" i="4"/>
  <c r="K249" i="4"/>
  <c r="AH26" i="4"/>
  <c r="X280" i="4"/>
  <c r="N262" i="4"/>
  <c r="J69" i="4"/>
  <c r="K219" i="4"/>
  <c r="J57" i="4"/>
  <c r="M260" i="4"/>
  <c r="F60" i="4"/>
  <c r="K297" i="4"/>
  <c r="K309" i="4"/>
  <c r="K315" i="4"/>
  <c r="K311" i="4"/>
  <c r="K316" i="4"/>
  <c r="K301" i="4"/>
  <c r="K318" i="4"/>
  <c r="K302" i="4"/>
  <c r="L327" i="4"/>
  <c r="K298" i="4"/>
  <c r="K310" i="4"/>
  <c r="K300" i="4"/>
  <c r="N274" i="4"/>
  <c r="X284" i="4"/>
  <c r="J326" i="4"/>
  <c r="AA273" i="4"/>
  <c r="J248" i="4"/>
  <c r="J89" i="4" s="1"/>
  <c r="F21" i="4"/>
  <c r="I122" i="4"/>
  <c r="I9" i="4"/>
  <c r="I360" i="4"/>
  <c r="I402" i="4"/>
  <c r="I84" i="4"/>
  <c r="I228" i="4"/>
  <c r="I293" i="4"/>
  <c r="I331" i="4"/>
  <c r="I49" i="4"/>
  <c r="I385" i="4"/>
  <c r="I257" i="4"/>
  <c r="I172" i="4"/>
  <c r="J1" i="4"/>
  <c r="F410" i="4"/>
  <c r="K321" i="4" l="1"/>
  <c r="K320" i="4"/>
  <c r="H29" i="4"/>
  <c r="G354" i="4"/>
  <c r="I68" i="4"/>
  <c r="I15" i="4"/>
  <c r="J218" i="4"/>
  <c r="I56" i="4"/>
  <c r="AS30" i="15"/>
  <c r="AS37" i="15" s="1"/>
  <c r="AS29" i="15"/>
  <c r="AS36" i="15" s="1"/>
  <c r="AS28" i="15"/>
  <c r="AS35" i="15" s="1"/>
  <c r="AS27" i="15"/>
  <c r="AS34" i="15" s="1"/>
  <c r="AS26" i="15"/>
  <c r="AS33" i="15" s="1"/>
  <c r="F38" i="4"/>
  <c r="G355" i="4"/>
  <c r="G408" i="4" s="1"/>
  <c r="G414" i="4" s="1"/>
  <c r="G206" i="4" s="1"/>
  <c r="H366" i="4"/>
  <c r="H104" i="4" s="1"/>
  <c r="F380" i="4"/>
  <c r="F159" i="4"/>
  <c r="F161" i="4" s="1"/>
  <c r="H324" i="4"/>
  <c r="H203" i="4" s="1"/>
  <c r="H60" i="4" s="1"/>
  <c r="G144" i="4"/>
  <c r="H30" i="4" s="1"/>
  <c r="G143" i="4"/>
  <c r="G391" i="4"/>
  <c r="G31" i="4" s="1"/>
  <c r="F22" i="4"/>
  <c r="J390" i="4"/>
  <c r="AT23" i="15"/>
  <c r="H147" i="4"/>
  <c r="H129" i="4"/>
  <c r="I92" i="4"/>
  <c r="I141" i="4" s="1"/>
  <c r="G21" i="4"/>
  <c r="H153" i="4"/>
  <c r="H167" i="4"/>
  <c r="H106" i="4"/>
  <c r="H141" i="4"/>
  <c r="I322" i="4"/>
  <c r="I133" i="4" s="1"/>
  <c r="I135" i="4" s="1"/>
  <c r="G192" i="4"/>
  <c r="H178" i="4"/>
  <c r="H179" i="4" s="1"/>
  <c r="H180" i="4" s="1"/>
  <c r="I251" i="4"/>
  <c r="H150" i="4"/>
  <c r="H111" i="4"/>
  <c r="H112" i="4" s="1"/>
  <c r="H118" i="4"/>
  <c r="F193" i="4"/>
  <c r="F55" i="4" s="1"/>
  <c r="F213" i="4"/>
  <c r="F63" i="4"/>
  <c r="F16" i="4" s="1"/>
  <c r="F18" i="4" s="1"/>
  <c r="G187" i="4"/>
  <c r="I99" i="4"/>
  <c r="G378" i="4"/>
  <c r="G190" i="4"/>
  <c r="K272" i="4"/>
  <c r="K276" i="4" s="1"/>
  <c r="J308" i="4"/>
  <c r="J312" i="4" s="1"/>
  <c r="J110" i="4" s="1"/>
  <c r="J276" i="4"/>
  <c r="I345" i="4" a="1"/>
  <c r="I345" i="4" s="1"/>
  <c r="I344" i="4"/>
  <c r="H378" i="4"/>
  <c r="H145" i="4" s="1"/>
  <c r="H345" i="4" a="1"/>
  <c r="H345" i="4" s="1"/>
  <c r="H370" i="4"/>
  <c r="H191" i="4" s="1"/>
  <c r="I370" i="4"/>
  <c r="H185" i="4"/>
  <c r="H344" i="4"/>
  <c r="I369" i="4"/>
  <c r="H369" i="4"/>
  <c r="H184" i="4"/>
  <c r="H351" i="4"/>
  <c r="H352" i="4" a="1"/>
  <c r="H352" i="4" s="1"/>
  <c r="L270" i="4"/>
  <c r="H27" i="4"/>
  <c r="I335" i="4"/>
  <c r="I364" i="4" s="1"/>
  <c r="I96" i="4"/>
  <c r="I288" i="4"/>
  <c r="I336" i="4"/>
  <c r="I334" i="4"/>
  <c r="H113" i="4"/>
  <c r="H114" i="4"/>
  <c r="J317" i="4"/>
  <c r="J286" i="4"/>
  <c r="I160" i="4"/>
  <c r="J212" i="4"/>
  <c r="J75" i="4" s="1"/>
  <c r="J319" i="4"/>
  <c r="H388" i="4"/>
  <c r="I348" i="4"/>
  <c r="I350" i="4"/>
  <c r="I132" i="4"/>
  <c r="I349" i="4"/>
  <c r="I376" i="4" s="1"/>
  <c r="K307" i="4"/>
  <c r="L271" i="4"/>
  <c r="J250" i="4"/>
  <c r="J91" i="4" s="1"/>
  <c r="I113" i="4"/>
  <c r="I114" i="4"/>
  <c r="K263" i="4"/>
  <c r="J267" i="4"/>
  <c r="J299" i="4"/>
  <c r="J303" i="4" s="1"/>
  <c r="J97" i="4" s="1"/>
  <c r="I75" i="4"/>
  <c r="I371" i="4"/>
  <c r="H371" i="4"/>
  <c r="H186" i="4"/>
  <c r="H138" i="4"/>
  <c r="I29" i="4" s="1"/>
  <c r="H137" i="4"/>
  <c r="H136" i="4"/>
  <c r="J246" i="4"/>
  <c r="J87" i="4" s="1"/>
  <c r="J236" i="4"/>
  <c r="K207" i="4"/>
  <c r="M279" i="4"/>
  <c r="N260" i="4"/>
  <c r="K90" i="4"/>
  <c r="J88" i="4"/>
  <c r="O264" i="4"/>
  <c r="H99" i="4"/>
  <c r="Y284" i="4"/>
  <c r="L309" i="4"/>
  <c r="L297" i="4"/>
  <c r="L315" i="4"/>
  <c r="L301" i="4"/>
  <c r="L302" i="4"/>
  <c r="L320" i="4"/>
  <c r="M327" i="4"/>
  <c r="L316" i="4"/>
  <c r="L321" i="4"/>
  <c r="L311" i="4"/>
  <c r="L318" i="4"/>
  <c r="L300" i="4"/>
  <c r="L310" i="4"/>
  <c r="L298" i="4"/>
  <c r="O262" i="4"/>
  <c r="G112" i="4"/>
  <c r="G117" i="4" s="1"/>
  <c r="G23" i="4"/>
  <c r="AE232" i="4"/>
  <c r="F25" i="3" s="1"/>
  <c r="O274" i="4"/>
  <c r="K326" i="4"/>
  <c r="F105" i="4"/>
  <c r="K57" i="4"/>
  <c r="L219" i="4"/>
  <c r="K69" i="4"/>
  <c r="G205" i="4"/>
  <c r="G71" i="4"/>
  <c r="G33" i="4"/>
  <c r="K248" i="4"/>
  <c r="K89" i="4" s="1"/>
  <c r="F76" i="4"/>
  <c r="AB273" i="4"/>
  <c r="L296" i="4"/>
  <c r="Y280" i="4"/>
  <c r="L249" i="4"/>
  <c r="L90" i="4" s="1"/>
  <c r="G14" i="4"/>
  <c r="K247" i="4"/>
  <c r="J228" i="4"/>
  <c r="J9" i="4"/>
  <c r="J293" i="4"/>
  <c r="J172" i="4"/>
  <c r="J402" i="4"/>
  <c r="K1" i="4"/>
  <c r="J84" i="4"/>
  <c r="J122" i="4"/>
  <c r="J331" i="4"/>
  <c r="J385" i="4"/>
  <c r="J257" i="4"/>
  <c r="J360" i="4"/>
  <c r="J49" i="4"/>
  <c r="G142" i="4" l="1"/>
  <c r="I111" i="4"/>
  <c r="I23" i="4" s="1"/>
  <c r="G211" i="4"/>
  <c r="G213" i="4" s="1"/>
  <c r="K218" i="4"/>
  <c r="J56" i="4"/>
  <c r="J68" i="4"/>
  <c r="J15" i="4"/>
  <c r="AT30" i="15"/>
  <c r="AT37" i="15" s="1"/>
  <c r="AT29" i="15"/>
  <c r="AT36" i="15" s="1"/>
  <c r="AT28" i="15"/>
  <c r="AT35" i="15" s="1"/>
  <c r="AT27" i="15"/>
  <c r="AT34" i="15" s="1"/>
  <c r="AT26" i="15"/>
  <c r="AT33" i="15" s="1"/>
  <c r="I129" i="4"/>
  <c r="I178" i="4"/>
  <c r="I179" i="4" s="1"/>
  <c r="I180" i="4" s="1"/>
  <c r="I205" i="4" s="1"/>
  <c r="I139" i="4"/>
  <c r="I33" i="4" s="1"/>
  <c r="F14" i="15"/>
  <c r="F15" i="15"/>
  <c r="H14" i="4"/>
  <c r="H192" i="4"/>
  <c r="H21" i="4"/>
  <c r="F39" i="4"/>
  <c r="H23" i="4"/>
  <c r="F11" i="15"/>
  <c r="H144" i="4"/>
  <c r="I30" i="4" s="1"/>
  <c r="H143" i="4"/>
  <c r="H391" i="4"/>
  <c r="H142" i="4" s="1"/>
  <c r="K390" i="4"/>
  <c r="H32" i="4"/>
  <c r="AU23" i="15"/>
  <c r="H71" i="4"/>
  <c r="H205" i="4"/>
  <c r="H407" i="4" s="1"/>
  <c r="G193" i="4"/>
  <c r="G55" i="4" s="1"/>
  <c r="I324" i="4"/>
  <c r="I203" i="4" s="1"/>
  <c r="I60" i="4" s="1"/>
  <c r="J64" i="4"/>
  <c r="J251" i="4"/>
  <c r="I185" i="4"/>
  <c r="J99" i="4"/>
  <c r="F195" i="4"/>
  <c r="H187" i="4"/>
  <c r="G72" i="4"/>
  <c r="G37" i="4"/>
  <c r="I377" i="4"/>
  <c r="I351" i="4"/>
  <c r="I375" i="4"/>
  <c r="I352" i="4" a="1"/>
  <c r="I352" i="4" s="1"/>
  <c r="L283" i="4"/>
  <c r="K319" i="4"/>
  <c r="J348" i="4"/>
  <c r="J350" i="4"/>
  <c r="J132" i="4"/>
  <c r="J349" i="4"/>
  <c r="J376" i="4" s="1"/>
  <c r="I27" i="4"/>
  <c r="I102" i="4"/>
  <c r="I101" i="4"/>
  <c r="I103" i="4"/>
  <c r="K342" i="4"/>
  <c r="K343" i="4"/>
  <c r="K109" i="4"/>
  <c r="K115" i="4" s="1"/>
  <c r="K341" i="4"/>
  <c r="H372" i="4"/>
  <c r="H190" i="4"/>
  <c r="I372" i="4"/>
  <c r="I116" i="4" s="1"/>
  <c r="L272" i="4"/>
  <c r="K308" i="4"/>
  <c r="K312" i="4" s="1"/>
  <c r="K110" i="4" s="1"/>
  <c r="L307" i="4"/>
  <c r="M271" i="4"/>
  <c r="I28" i="4"/>
  <c r="M270" i="4"/>
  <c r="L306" i="4"/>
  <c r="K246" i="4"/>
  <c r="K236" i="4"/>
  <c r="I186" i="4"/>
  <c r="J96" i="4"/>
  <c r="J336" i="4"/>
  <c r="J365" i="4" s="1"/>
  <c r="J334" i="4"/>
  <c r="J335" i="4"/>
  <c r="J288" i="4"/>
  <c r="J322" i="4"/>
  <c r="I363" i="4"/>
  <c r="I184" i="4"/>
  <c r="I338" i="4" a="1"/>
  <c r="I338" i="4" s="1"/>
  <c r="I337" i="4"/>
  <c r="I191" i="4"/>
  <c r="I388" i="4"/>
  <c r="L263" i="4"/>
  <c r="K267" i="4"/>
  <c r="K299" i="4"/>
  <c r="K303" i="4" s="1"/>
  <c r="K250" i="4"/>
  <c r="K91" i="4" s="1"/>
  <c r="I138" i="4"/>
  <c r="I136" i="4"/>
  <c r="I137" i="4"/>
  <c r="K212" i="4"/>
  <c r="K75" i="4" s="1"/>
  <c r="J160" i="4"/>
  <c r="L281" i="4"/>
  <c r="K286" i="4"/>
  <c r="K317" i="4"/>
  <c r="I365" i="4"/>
  <c r="H354" i="4"/>
  <c r="H355" i="4"/>
  <c r="H408" i="4" s="1"/>
  <c r="H414" i="4" s="1"/>
  <c r="J343" i="4"/>
  <c r="J109" i="4"/>
  <c r="J115" i="4" s="1"/>
  <c r="J342" i="4"/>
  <c r="J341" i="4"/>
  <c r="G145" i="4"/>
  <c r="G380" i="4"/>
  <c r="L207" i="4"/>
  <c r="N279" i="4"/>
  <c r="Z280" i="4"/>
  <c r="G158" i="4"/>
  <c r="G62" i="4"/>
  <c r="G73" i="4"/>
  <c r="G413" i="4"/>
  <c r="G416" i="4" s="1"/>
  <c r="G407" i="4"/>
  <c r="G410" i="4" s="1"/>
  <c r="L247" i="4"/>
  <c r="G22" i="4"/>
  <c r="P262" i="4"/>
  <c r="I112" i="4"/>
  <c r="I22" i="4" s="1"/>
  <c r="K88" i="4"/>
  <c r="M309" i="4"/>
  <c r="M316" i="4"/>
  <c r="M321" i="4"/>
  <c r="N327" i="4"/>
  <c r="N296" i="4" s="1"/>
  <c r="M297" i="4"/>
  <c r="M315" i="4"/>
  <c r="M311" i="4"/>
  <c r="M320" i="4"/>
  <c r="M301" i="4"/>
  <c r="M302" i="4"/>
  <c r="M318" i="4"/>
  <c r="M300" i="4"/>
  <c r="M310" i="4"/>
  <c r="M298" i="4"/>
  <c r="M296" i="4"/>
  <c r="H22" i="4"/>
  <c r="O260" i="4"/>
  <c r="M249" i="4"/>
  <c r="M90" i="4" s="1"/>
  <c r="AC273" i="4"/>
  <c r="L248" i="4"/>
  <c r="L89" i="4" s="1"/>
  <c r="L69" i="4"/>
  <c r="M219" i="4"/>
  <c r="L57" i="4"/>
  <c r="L326" i="4"/>
  <c r="P274" i="4"/>
  <c r="Z284" i="4"/>
  <c r="H105" i="4"/>
  <c r="P264" i="4"/>
  <c r="J92" i="4"/>
  <c r="K49" i="4"/>
  <c r="K84" i="4"/>
  <c r="K257" i="4"/>
  <c r="K331" i="4"/>
  <c r="K293" i="4"/>
  <c r="K402" i="4"/>
  <c r="L1" i="4"/>
  <c r="K9" i="4"/>
  <c r="K228" i="4"/>
  <c r="K385" i="4"/>
  <c r="K172" i="4"/>
  <c r="K122" i="4"/>
  <c r="K360" i="4"/>
  <c r="G159" i="4" l="1"/>
  <c r="G74" i="4"/>
  <c r="G63" i="4"/>
  <c r="H31" i="4"/>
  <c r="H193" i="4"/>
  <c r="H195" i="4" s="1"/>
  <c r="K56" i="4"/>
  <c r="L218" i="4"/>
  <c r="K15" i="4"/>
  <c r="K68" i="4"/>
  <c r="AU30" i="15"/>
  <c r="AU29" i="15"/>
  <c r="AU28" i="15"/>
  <c r="AU27" i="15"/>
  <c r="AU26" i="15"/>
  <c r="F13" i="15"/>
  <c r="G13" i="15"/>
  <c r="AF234" i="4"/>
  <c r="G27" i="3" s="1"/>
  <c r="AF235" i="4"/>
  <c r="G28" i="3" s="1"/>
  <c r="AF233" i="4"/>
  <c r="G26" i="3" s="1"/>
  <c r="I14" i="4"/>
  <c r="I71" i="4"/>
  <c r="H12" i="15"/>
  <c r="I21" i="4"/>
  <c r="G195" i="4"/>
  <c r="H55" i="4"/>
  <c r="F23" i="15"/>
  <c r="AF231" i="4"/>
  <c r="I144" i="4"/>
  <c r="J30" i="4" s="1"/>
  <c r="I143" i="4"/>
  <c r="I391" i="4"/>
  <c r="I31" i="4" s="1"/>
  <c r="L390" i="4"/>
  <c r="AV23" i="15"/>
  <c r="H158" i="4"/>
  <c r="H413" i="4"/>
  <c r="H416" i="4" s="1"/>
  <c r="H73" i="4"/>
  <c r="H62" i="4"/>
  <c r="J28" i="4"/>
  <c r="J29" i="4"/>
  <c r="K322" i="4"/>
  <c r="K133" i="4" s="1"/>
  <c r="K135" i="4" s="1"/>
  <c r="K251" i="4"/>
  <c r="K64" i="4"/>
  <c r="I192" i="4"/>
  <c r="I355" i="4"/>
  <c r="I408" i="4" s="1"/>
  <c r="I414" i="4" s="1"/>
  <c r="I187" i="4"/>
  <c r="I72" i="4" s="1"/>
  <c r="I378" i="4"/>
  <c r="I145" i="4" s="1"/>
  <c r="H410" i="4"/>
  <c r="H37" i="4"/>
  <c r="H72" i="4"/>
  <c r="J388" i="4"/>
  <c r="K87" i="4"/>
  <c r="K92" i="4" s="1"/>
  <c r="J345" i="4" a="1"/>
  <c r="J345" i="4" s="1"/>
  <c r="J344" i="4"/>
  <c r="K369" i="4"/>
  <c r="J369" i="4"/>
  <c r="K160" i="4"/>
  <c r="L212" i="4"/>
  <c r="L75" i="4" s="1"/>
  <c r="L250" i="4"/>
  <c r="L91" i="4" s="1"/>
  <c r="M263" i="4"/>
  <c r="L267" i="4"/>
  <c r="L299" i="4"/>
  <c r="L303" i="4" s="1"/>
  <c r="L97" i="4" s="1"/>
  <c r="J133" i="4"/>
  <c r="J135" i="4" s="1"/>
  <c r="J324" i="4"/>
  <c r="J203" i="4" s="1"/>
  <c r="J60" i="4" s="1"/>
  <c r="J364" i="4"/>
  <c r="J185" i="4"/>
  <c r="L246" i="4"/>
  <c r="L87" i="4" s="1"/>
  <c r="L236" i="4"/>
  <c r="H116" i="4"/>
  <c r="H117" i="4" s="1"/>
  <c r="H380" i="4"/>
  <c r="J375" i="4"/>
  <c r="J351" i="4"/>
  <c r="J352" i="4" a="1"/>
  <c r="J352" i="4" s="1"/>
  <c r="I366" i="4"/>
  <c r="I190" i="4"/>
  <c r="J103" i="4"/>
  <c r="J101" i="4"/>
  <c r="J102" i="4"/>
  <c r="N270" i="4"/>
  <c r="N306" i="4" s="1"/>
  <c r="K370" i="4"/>
  <c r="J370" i="4"/>
  <c r="K349" i="4"/>
  <c r="K350" i="4"/>
  <c r="K377" i="4" s="1"/>
  <c r="K348" i="4"/>
  <c r="K375" i="4" s="1"/>
  <c r="K132" i="4"/>
  <c r="J363" i="4"/>
  <c r="J338" i="4" a="1"/>
  <c r="J338" i="4" s="1"/>
  <c r="J184" i="4"/>
  <c r="J337" i="4"/>
  <c r="M272" i="4"/>
  <c r="M276" i="4" s="1"/>
  <c r="L308" i="4"/>
  <c r="L312" i="4" s="1"/>
  <c r="L110" i="4" s="1"/>
  <c r="K344" i="4"/>
  <c r="K345" i="4" a="1"/>
  <c r="K345" i="4" s="1"/>
  <c r="I354" i="4"/>
  <c r="J377" i="4"/>
  <c r="K371" i="4"/>
  <c r="J371" i="4"/>
  <c r="K96" i="4"/>
  <c r="K334" i="4"/>
  <c r="K288" i="4"/>
  <c r="K336" i="4"/>
  <c r="K365" i="4" s="1"/>
  <c r="K335" i="4"/>
  <c r="K364" i="4" s="1"/>
  <c r="M306" i="4"/>
  <c r="J114" i="4"/>
  <c r="J113" i="4"/>
  <c r="M281" i="4"/>
  <c r="L286" i="4"/>
  <c r="L317" i="4"/>
  <c r="K97" i="4"/>
  <c r="K99" i="4" s="1"/>
  <c r="J186" i="4"/>
  <c r="L276" i="4"/>
  <c r="N271" i="4"/>
  <c r="M307" i="4"/>
  <c r="K113" i="4"/>
  <c r="K114" i="4"/>
  <c r="J27" i="4"/>
  <c r="J137" i="4"/>
  <c r="J138" i="4"/>
  <c r="J136" i="4"/>
  <c r="M283" i="4"/>
  <c r="L319" i="4"/>
  <c r="K376" i="4"/>
  <c r="M207" i="4"/>
  <c r="O279" i="4"/>
  <c r="G38" i="4"/>
  <c r="G76" i="4"/>
  <c r="M326" i="4"/>
  <c r="J129" i="4"/>
  <c r="J141" i="4"/>
  <c r="J139" i="4"/>
  <c r="J178" i="4"/>
  <c r="J111" i="4"/>
  <c r="AA284" i="4"/>
  <c r="Q274" i="4"/>
  <c r="AD273" i="4"/>
  <c r="N302" i="4"/>
  <c r="N311" i="4"/>
  <c r="N301" i="4"/>
  <c r="N321" i="4"/>
  <c r="N318" i="4"/>
  <c r="N316" i="4"/>
  <c r="N309" i="4"/>
  <c r="N297" i="4"/>
  <c r="N320" i="4"/>
  <c r="N315" i="4"/>
  <c r="O327" i="4"/>
  <c r="O296" i="4" s="1"/>
  <c r="N300" i="4"/>
  <c r="N310" i="4"/>
  <c r="N298" i="4"/>
  <c r="Q262" i="4"/>
  <c r="G16" i="4"/>
  <c r="G18" i="4" s="1"/>
  <c r="N249" i="4"/>
  <c r="N90" i="4" s="1"/>
  <c r="H211" i="4"/>
  <c r="N219" i="4"/>
  <c r="M57" i="4"/>
  <c r="M69" i="4"/>
  <c r="P260" i="4"/>
  <c r="I117" i="4"/>
  <c r="I118" i="4" s="1"/>
  <c r="M247" i="4"/>
  <c r="G161" i="4"/>
  <c r="G39" i="4"/>
  <c r="AA280" i="4"/>
  <c r="I413" i="4"/>
  <c r="I73" i="4"/>
  <c r="I158" i="4"/>
  <c r="I62" i="4"/>
  <c r="I407" i="4"/>
  <c r="Q264" i="4"/>
  <c r="M248" i="4"/>
  <c r="M89" i="4" s="1"/>
  <c r="H206" i="4"/>
  <c r="L88" i="4"/>
  <c r="L402" i="4"/>
  <c r="L360" i="4"/>
  <c r="L172" i="4"/>
  <c r="L122" i="4"/>
  <c r="L49" i="4"/>
  <c r="L293" i="4"/>
  <c r="L257" i="4"/>
  <c r="L84" i="4"/>
  <c r="L331" i="4"/>
  <c r="M1" i="4"/>
  <c r="L9" i="4"/>
  <c r="L385" i="4"/>
  <c r="L228" i="4"/>
  <c r="AU35" i="15" l="1"/>
  <c r="F35" i="15" s="1"/>
  <c r="F28" i="15"/>
  <c r="AU36" i="15"/>
  <c r="F36" i="15" s="1"/>
  <c r="F29" i="15"/>
  <c r="AU33" i="15"/>
  <c r="F33" i="15" s="1"/>
  <c r="F26" i="15"/>
  <c r="AU37" i="15"/>
  <c r="F37" i="15" s="1"/>
  <c r="F30" i="15"/>
  <c r="AU34" i="15"/>
  <c r="F34" i="15" s="1"/>
  <c r="F27" i="15"/>
  <c r="K324" i="4"/>
  <c r="K203" i="4" s="1"/>
  <c r="K60" i="4" s="1"/>
  <c r="L68" i="4"/>
  <c r="L56" i="4"/>
  <c r="L15" i="4"/>
  <c r="M218" i="4"/>
  <c r="AV30" i="15"/>
  <c r="AV29" i="15"/>
  <c r="AV28" i="15"/>
  <c r="AV27" i="15"/>
  <c r="AV26" i="15"/>
  <c r="F24" i="15"/>
  <c r="F8" i="19"/>
  <c r="AJ43" i="19" s="1"/>
  <c r="AJ44" i="19" s="1"/>
  <c r="AH232" i="4"/>
  <c r="I25" i="3" s="1"/>
  <c r="K129" i="4"/>
  <c r="K141" i="4"/>
  <c r="I142" i="4"/>
  <c r="G24" i="3"/>
  <c r="AF236" i="4"/>
  <c r="K139" i="4"/>
  <c r="K33" i="4" s="1"/>
  <c r="K111" i="4"/>
  <c r="K112" i="4" s="1"/>
  <c r="K178" i="4"/>
  <c r="K179" i="4" s="1"/>
  <c r="K180" i="4" s="1"/>
  <c r="K205" i="4" s="1"/>
  <c r="J144" i="4"/>
  <c r="K30" i="4" s="1"/>
  <c r="J143" i="4"/>
  <c r="J391" i="4"/>
  <c r="J31" i="4" s="1"/>
  <c r="I32" i="4"/>
  <c r="M390" i="4"/>
  <c r="AW23" i="15"/>
  <c r="L251" i="4"/>
  <c r="I193" i="4"/>
  <c r="I55" i="4" s="1"/>
  <c r="L64" i="4"/>
  <c r="K28" i="4"/>
  <c r="J192" i="4"/>
  <c r="K192" i="4" s="1"/>
  <c r="I37" i="4"/>
  <c r="K29" i="4"/>
  <c r="J378" i="4"/>
  <c r="J145" i="4" s="1"/>
  <c r="K378" i="4"/>
  <c r="K145" i="4" s="1"/>
  <c r="M109" i="4"/>
  <c r="M115" i="4" s="1"/>
  <c r="M342" i="4"/>
  <c r="M341" i="4"/>
  <c r="M343" i="4"/>
  <c r="J355" i="4"/>
  <c r="J408" i="4" s="1"/>
  <c r="J414" i="4" s="1"/>
  <c r="M236" i="4"/>
  <c r="M246" i="4"/>
  <c r="M87" i="4" s="1"/>
  <c r="N263" i="4"/>
  <c r="M267" i="4"/>
  <c r="M299" i="4"/>
  <c r="M303" i="4" s="1"/>
  <c r="M97" i="4" s="1"/>
  <c r="N283" i="4"/>
  <c r="M319" i="4"/>
  <c r="L349" i="4"/>
  <c r="L376" i="4" s="1"/>
  <c r="L348" i="4"/>
  <c r="L350" i="4"/>
  <c r="L377" i="4" s="1"/>
  <c r="L132" i="4"/>
  <c r="K184" i="4"/>
  <c r="K338" i="4" a="1"/>
  <c r="K338" i="4" s="1"/>
  <c r="K337" i="4"/>
  <c r="K363" i="4"/>
  <c r="J366" i="4"/>
  <c r="J190" i="4"/>
  <c r="J354" i="4"/>
  <c r="J372" i="4"/>
  <c r="J116" i="4" s="1"/>
  <c r="L341" i="4"/>
  <c r="L343" i="4"/>
  <c r="L109" i="4"/>
  <c r="L115" i="4" s="1"/>
  <c r="L342" i="4"/>
  <c r="L322" i="4"/>
  <c r="L133" i="4" s="1"/>
  <c r="L135" i="4" s="1"/>
  <c r="K388" i="4"/>
  <c r="O270" i="4"/>
  <c r="O306" i="4" s="1"/>
  <c r="J21" i="4"/>
  <c r="O271" i="4"/>
  <c r="N307" i="4"/>
  <c r="N281" i="4"/>
  <c r="M286" i="4"/>
  <c r="M317" i="4"/>
  <c r="K185" i="4"/>
  <c r="K103" i="4"/>
  <c r="K101" i="4"/>
  <c r="K102" i="4"/>
  <c r="K138" i="4"/>
  <c r="K137" i="4"/>
  <c r="K136" i="4"/>
  <c r="I380" i="4"/>
  <c r="I104" i="4"/>
  <c r="I105" i="4" s="1"/>
  <c r="I106" i="4" s="1"/>
  <c r="M250" i="4"/>
  <c r="M91" i="4" s="1"/>
  <c r="K372" i="4"/>
  <c r="K116" i="4" s="1"/>
  <c r="K186" i="4"/>
  <c r="N272" i="4"/>
  <c r="N276" i="4" s="1"/>
  <c r="M308" i="4"/>
  <c r="M312" i="4" s="1"/>
  <c r="M110" i="4" s="1"/>
  <c r="J187" i="4"/>
  <c r="K352" i="4" a="1"/>
  <c r="K352" i="4" s="1"/>
  <c r="K351" i="4"/>
  <c r="K27" i="4"/>
  <c r="J191" i="4"/>
  <c r="K191" i="4" s="1"/>
  <c r="L96" i="4"/>
  <c r="L336" i="4"/>
  <c r="L365" i="4" s="1"/>
  <c r="L335" i="4"/>
  <c r="L288" i="4"/>
  <c r="L334" i="4"/>
  <c r="L363" i="4" s="1"/>
  <c r="L160" i="4"/>
  <c r="M212" i="4"/>
  <c r="M75" i="4" s="1"/>
  <c r="N207" i="4"/>
  <c r="P279" i="4"/>
  <c r="L92" i="4"/>
  <c r="O249" i="4"/>
  <c r="N248" i="4"/>
  <c r="N89" i="4" s="1"/>
  <c r="R264" i="4"/>
  <c r="R262" i="4"/>
  <c r="O320" i="4"/>
  <c r="O301" i="4"/>
  <c r="O316" i="4"/>
  <c r="O321" i="4"/>
  <c r="O315" i="4"/>
  <c r="O309" i="4"/>
  <c r="O311" i="4"/>
  <c r="P327" i="4"/>
  <c r="P296" i="4" s="1"/>
  <c r="O302" i="4"/>
  <c r="O297" i="4"/>
  <c r="O318" i="4"/>
  <c r="O298" i="4"/>
  <c r="O310" i="4"/>
  <c r="O300" i="4"/>
  <c r="J23" i="4"/>
  <c r="J112" i="4"/>
  <c r="J33" i="4"/>
  <c r="N326" i="4"/>
  <c r="H74" i="4"/>
  <c r="I206" i="4"/>
  <c r="H63" i="4"/>
  <c r="I410" i="4"/>
  <c r="N57" i="4"/>
  <c r="N69" i="4"/>
  <c r="O219" i="4"/>
  <c r="R274" i="4"/>
  <c r="AB280" i="4"/>
  <c r="M88" i="4"/>
  <c r="I211" i="4"/>
  <c r="H159" i="4"/>
  <c r="H213" i="4"/>
  <c r="J179" i="4"/>
  <c r="J180" i="4" s="1"/>
  <c r="I416" i="4"/>
  <c r="AB284" i="4"/>
  <c r="N247" i="4"/>
  <c r="Q260" i="4"/>
  <c r="AE273" i="4"/>
  <c r="L99" i="4"/>
  <c r="M331" i="4"/>
  <c r="M257" i="4"/>
  <c r="M9" i="4"/>
  <c r="M293" i="4"/>
  <c r="M49" i="4"/>
  <c r="M360" i="4"/>
  <c r="M122" i="4"/>
  <c r="M84" i="4"/>
  <c r="N1" i="4"/>
  <c r="M228" i="4"/>
  <c r="M385" i="4"/>
  <c r="M172" i="4"/>
  <c r="M402" i="4"/>
  <c r="AV33" i="15" l="1"/>
  <c r="AV37" i="15"/>
  <c r="AV34" i="15"/>
  <c r="AV35" i="15"/>
  <c r="AV36" i="15"/>
  <c r="AJ45" i="19"/>
  <c r="K21" i="4"/>
  <c r="J142" i="4"/>
  <c r="N218" i="4"/>
  <c r="M68" i="4"/>
  <c r="M15" i="4"/>
  <c r="M56" i="4"/>
  <c r="AW30" i="15"/>
  <c r="AW37" i="15" s="1"/>
  <c r="AW29" i="15"/>
  <c r="AW36" i="15" s="1"/>
  <c r="AW28" i="15"/>
  <c r="AW35" i="15" s="1"/>
  <c r="AW27" i="15"/>
  <c r="AW34" i="15" s="1"/>
  <c r="AW26" i="15"/>
  <c r="AW33" i="15" s="1"/>
  <c r="M251" i="4"/>
  <c r="K117" i="4"/>
  <c r="K118" i="4" s="1"/>
  <c r="K354" i="4"/>
  <c r="M92" i="4"/>
  <c r="M178" i="4" s="1"/>
  <c r="M179" i="4" s="1"/>
  <c r="M180" i="4" s="1"/>
  <c r="K23" i="4"/>
  <c r="K71" i="4"/>
  <c r="K144" i="4"/>
  <c r="L30" i="4" s="1"/>
  <c r="K143" i="4"/>
  <c r="K391" i="4"/>
  <c r="K142" i="4" s="1"/>
  <c r="I195" i="4"/>
  <c r="N390" i="4"/>
  <c r="K32" i="4"/>
  <c r="AX23" i="15"/>
  <c r="M322" i="4"/>
  <c r="J117" i="4"/>
  <c r="J118" i="4" s="1"/>
  <c r="K355" i="4"/>
  <c r="K408" i="4" s="1"/>
  <c r="K414" i="4" s="1"/>
  <c r="N109" i="4"/>
  <c r="N115" i="4" s="1"/>
  <c r="N342" i="4"/>
  <c r="N370" i="4" s="1"/>
  <c r="N343" i="4"/>
  <c r="N341" i="4"/>
  <c r="L185" i="4"/>
  <c r="M64" i="4"/>
  <c r="L186" i="4"/>
  <c r="J72" i="4"/>
  <c r="J37" i="4"/>
  <c r="L27" i="4"/>
  <c r="L344" i="4"/>
  <c r="L345" i="4" a="1"/>
  <c r="L345" i="4" s="1"/>
  <c r="L369" i="4"/>
  <c r="M369" i="4"/>
  <c r="J104" i="4"/>
  <c r="J105" i="4" s="1"/>
  <c r="J106" i="4" s="1"/>
  <c r="J380" i="4"/>
  <c r="L375" i="4"/>
  <c r="L378" i="4" s="1"/>
  <c r="L145" i="4" s="1"/>
  <c r="L351" i="4"/>
  <c r="L352" i="4" a="1"/>
  <c r="L352" i="4" s="1"/>
  <c r="L324" i="4"/>
  <c r="L203" i="4" s="1"/>
  <c r="L60" i="4" s="1"/>
  <c r="M96" i="4"/>
  <c r="M288" i="4"/>
  <c r="M334" i="4"/>
  <c r="M336" i="4"/>
  <c r="M335" i="4"/>
  <c r="M364" i="4" s="1"/>
  <c r="M344" i="4"/>
  <c r="M345" i="4" a="1"/>
  <c r="M345" i="4" s="1"/>
  <c r="L337" i="4"/>
  <c r="L338" i="4" a="1"/>
  <c r="L338" i="4" s="1"/>
  <c r="L184" i="4"/>
  <c r="L102" i="4"/>
  <c r="L103" i="4"/>
  <c r="L101" i="4"/>
  <c r="N250" i="4"/>
  <c r="L28" i="4"/>
  <c r="L29" i="4"/>
  <c r="M350" i="4"/>
  <c r="M377" i="4" s="1"/>
  <c r="M348" i="4"/>
  <c r="M349" i="4"/>
  <c r="M376" i="4" s="1"/>
  <c r="M132" i="4"/>
  <c r="O307" i="4"/>
  <c r="P271" i="4"/>
  <c r="Q271" i="4" s="1"/>
  <c r="P270" i="4"/>
  <c r="P306" i="4" s="1"/>
  <c r="M370" i="4"/>
  <c r="L370" i="4"/>
  <c r="K190" i="4"/>
  <c r="K193" i="4" s="1"/>
  <c r="K366" i="4"/>
  <c r="K187" i="4"/>
  <c r="O263" i="4"/>
  <c r="N267" i="4"/>
  <c r="N299" i="4"/>
  <c r="N303" i="4" s="1"/>
  <c r="N97" i="4" s="1"/>
  <c r="N236" i="4"/>
  <c r="N246" i="4"/>
  <c r="L388" i="4"/>
  <c r="O272" i="4"/>
  <c r="O276" i="4" s="1"/>
  <c r="N308" i="4"/>
  <c r="N312" i="4" s="1"/>
  <c r="N110" i="4" s="1"/>
  <c r="L364" i="4"/>
  <c r="O281" i="4"/>
  <c r="N286" i="4"/>
  <c r="N317" i="4"/>
  <c r="L114" i="4"/>
  <c r="L113" i="4"/>
  <c r="L138" i="4"/>
  <c r="L137" i="4"/>
  <c r="L136" i="4"/>
  <c r="O283" i="4"/>
  <c r="N319" i="4"/>
  <c r="M114" i="4"/>
  <c r="M113" i="4"/>
  <c r="M160" i="4"/>
  <c r="N212" i="4"/>
  <c r="N64" i="4" s="1"/>
  <c r="L371" i="4"/>
  <c r="L192" i="4" s="1"/>
  <c r="M371" i="4"/>
  <c r="J193" i="4"/>
  <c r="J55" i="4" s="1"/>
  <c r="J32" i="4"/>
  <c r="K22" i="4"/>
  <c r="O207" i="4"/>
  <c r="Q279" i="4"/>
  <c r="O248" i="4"/>
  <c r="O89" i="4" s="1"/>
  <c r="I159" i="4"/>
  <c r="J211" i="4"/>
  <c r="I213" i="4"/>
  <c r="AC280" i="4"/>
  <c r="O326" i="4"/>
  <c r="P318" i="4"/>
  <c r="P311" i="4"/>
  <c r="P321" i="4"/>
  <c r="P316" i="4"/>
  <c r="P315" i="4"/>
  <c r="P302" i="4"/>
  <c r="Q327" i="4"/>
  <c r="P309" i="4"/>
  <c r="P320" i="4"/>
  <c r="P301" i="4"/>
  <c r="P297" i="4"/>
  <c r="P310" i="4"/>
  <c r="P298" i="4"/>
  <c r="P300" i="4"/>
  <c r="P249" i="4"/>
  <c r="P90" i="4" s="1"/>
  <c r="L141" i="4"/>
  <c r="L139" i="4"/>
  <c r="L129" i="4"/>
  <c r="L178" i="4"/>
  <c r="L179" i="4" s="1"/>
  <c r="L180" i="4" s="1"/>
  <c r="L111" i="4"/>
  <c r="O90" i="4"/>
  <c r="R260" i="4"/>
  <c r="Q296" i="4"/>
  <c r="O247" i="4"/>
  <c r="AC284" i="4"/>
  <c r="H16" i="4"/>
  <c r="H18" i="4" s="1"/>
  <c r="K158" i="4"/>
  <c r="M99" i="4"/>
  <c r="J14" i="4"/>
  <c r="J71" i="4"/>
  <c r="J205" i="4"/>
  <c r="H161" i="4"/>
  <c r="H39" i="4"/>
  <c r="T274" i="4"/>
  <c r="H76" i="4"/>
  <c r="H38" i="4"/>
  <c r="N88" i="4"/>
  <c r="O69" i="4"/>
  <c r="P219" i="4"/>
  <c r="O57" i="4"/>
  <c r="I63" i="4"/>
  <c r="I16" i="4" s="1"/>
  <c r="I18" i="4" s="1"/>
  <c r="J206" i="4"/>
  <c r="I74" i="4"/>
  <c r="J22" i="4"/>
  <c r="K14" i="4"/>
  <c r="O1" i="4"/>
  <c r="N257" i="4"/>
  <c r="N331" i="4"/>
  <c r="N122" i="4"/>
  <c r="N9" i="4"/>
  <c r="N84" i="4"/>
  <c r="N293" i="4"/>
  <c r="N385" i="4"/>
  <c r="N360" i="4"/>
  <c r="N228" i="4"/>
  <c r="N402" i="4"/>
  <c r="N172" i="4"/>
  <c r="N49" i="4"/>
  <c r="N56" i="4" l="1"/>
  <c r="O218" i="4"/>
  <c r="N68" i="4"/>
  <c r="N15" i="4"/>
  <c r="AX30" i="15"/>
  <c r="AX37" i="15" s="1"/>
  <c r="AX29" i="15"/>
  <c r="AX36" i="15" s="1"/>
  <c r="AX28" i="15"/>
  <c r="AX35" i="15" s="1"/>
  <c r="AX27" i="15"/>
  <c r="AX34" i="15" s="1"/>
  <c r="AX26" i="15"/>
  <c r="AX33" i="15" s="1"/>
  <c r="M29" i="4"/>
  <c r="M139" i="4"/>
  <c r="M33" i="4" s="1"/>
  <c r="M111" i="4"/>
  <c r="M23" i="4" s="1"/>
  <c r="M141" i="4"/>
  <c r="M14" i="4" s="1"/>
  <c r="M129" i="4"/>
  <c r="N251" i="4"/>
  <c r="K31" i="4"/>
  <c r="L144" i="4"/>
  <c r="M30" i="4" s="1"/>
  <c r="L143" i="4"/>
  <c r="L391" i="4"/>
  <c r="L142" i="4" s="1"/>
  <c r="O390" i="4"/>
  <c r="AY23" i="15"/>
  <c r="M133" i="4"/>
  <c r="M135" i="4" s="1"/>
  <c r="M324" i="4"/>
  <c r="M203" i="4" s="1"/>
  <c r="M60" i="4" s="1"/>
  <c r="N75" i="4"/>
  <c r="L21" i="4"/>
  <c r="L191" i="4"/>
  <c r="M191" i="4" s="1"/>
  <c r="L187" i="4"/>
  <c r="L37" i="4" s="1"/>
  <c r="K55" i="4"/>
  <c r="L354" i="4"/>
  <c r="M186" i="4"/>
  <c r="L190" i="4"/>
  <c r="O343" i="4"/>
  <c r="O371" i="4" s="1"/>
  <c r="O109" i="4"/>
  <c r="O115" i="4" s="1"/>
  <c r="O342" i="4"/>
  <c r="O370" i="4" s="1"/>
  <c r="O341" i="4"/>
  <c r="P283" i="4"/>
  <c r="O319" i="4"/>
  <c r="L366" i="4"/>
  <c r="N322" i="4"/>
  <c r="O246" i="4"/>
  <c r="O87" i="4" s="1"/>
  <c r="O236" i="4"/>
  <c r="K72" i="4"/>
  <c r="K37" i="4"/>
  <c r="K195" i="4"/>
  <c r="P307" i="4"/>
  <c r="M351" i="4"/>
  <c r="M352" i="4" a="1"/>
  <c r="M352" i="4" s="1"/>
  <c r="O250" i="4"/>
  <c r="O91" i="4" s="1"/>
  <c r="M28" i="4"/>
  <c r="M337" i="4"/>
  <c r="M184" i="4"/>
  <c r="M338" i="4" a="1"/>
  <c r="M338" i="4" s="1"/>
  <c r="L355" i="4"/>
  <c r="L408" i="4" s="1"/>
  <c r="L414" i="4" s="1"/>
  <c r="J195" i="4"/>
  <c r="N344" i="4"/>
  <c r="N369" i="4"/>
  <c r="N345" i="4" a="1"/>
  <c r="N345" i="4" s="1"/>
  <c r="M27" i="4"/>
  <c r="N348" i="4"/>
  <c r="N349" i="4"/>
  <c r="N376" i="4" s="1"/>
  <c r="N350" i="4"/>
  <c r="N377" i="4" s="1"/>
  <c r="N132" i="4"/>
  <c r="R239" i="4"/>
  <c r="T239" i="4" s="1"/>
  <c r="V239" i="4" s="1"/>
  <c r="X239" i="4" s="1"/>
  <c r="Z239" i="4" s="1"/>
  <c r="AB239" i="4" s="1"/>
  <c r="AD239" i="4" s="1"/>
  <c r="AF239" i="4" s="1"/>
  <c r="K104" i="4"/>
  <c r="K105" i="4" s="1"/>
  <c r="K106" i="4" s="1"/>
  <c r="K380" i="4"/>
  <c r="N91" i="4"/>
  <c r="M363" i="4"/>
  <c r="M388" i="4"/>
  <c r="N371" i="4"/>
  <c r="P281" i="4"/>
  <c r="O286" i="4"/>
  <c r="O317" i="4"/>
  <c r="N87" i="4"/>
  <c r="N335" i="4"/>
  <c r="N364" i="4" s="1"/>
  <c r="N334" i="4"/>
  <c r="N363" i="4" s="1"/>
  <c r="N336" i="4"/>
  <c r="N96" i="4"/>
  <c r="N288" i="4"/>
  <c r="Q270" i="4"/>
  <c r="Q306" i="4" s="1"/>
  <c r="M138" i="4"/>
  <c r="M136" i="4"/>
  <c r="M137" i="4"/>
  <c r="M185" i="4"/>
  <c r="M103" i="4"/>
  <c r="M101" i="4"/>
  <c r="M102" i="4"/>
  <c r="M375" i="4"/>
  <c r="M378" i="4" s="1"/>
  <c r="M145" i="4" s="1"/>
  <c r="M372" i="4"/>
  <c r="M116" i="4" s="1"/>
  <c r="N160" i="4"/>
  <c r="O212" i="4"/>
  <c r="O75" i="4" s="1"/>
  <c r="P272" i="4"/>
  <c r="P276" i="4" s="1"/>
  <c r="O308" i="4"/>
  <c r="O312" i="4" s="1"/>
  <c r="O110" i="4" s="1"/>
  <c r="P263" i="4"/>
  <c r="O267" i="4"/>
  <c r="O299" i="4"/>
  <c r="O303" i="4" s="1"/>
  <c r="L372" i="4"/>
  <c r="L116" i="4" s="1"/>
  <c r="M365" i="4"/>
  <c r="M192" i="4" s="1"/>
  <c r="N114" i="4"/>
  <c r="N113" i="4"/>
  <c r="P207" i="4"/>
  <c r="O64" i="4"/>
  <c r="R279" i="4"/>
  <c r="I38" i="4"/>
  <c r="I76" i="4"/>
  <c r="AD284" i="4"/>
  <c r="L23" i="4"/>
  <c r="L112" i="4"/>
  <c r="P326" i="4"/>
  <c r="I39" i="4"/>
  <c r="I161" i="4"/>
  <c r="J74" i="4"/>
  <c r="K206" i="4"/>
  <c r="J63" i="4"/>
  <c r="U274" i="4"/>
  <c r="K413" i="4"/>
  <c r="K416" i="4" s="1"/>
  <c r="J413" i="4"/>
  <c r="J62" i="4"/>
  <c r="J158" i="4"/>
  <c r="J73" i="4"/>
  <c r="J407" i="4"/>
  <c r="K62" i="4"/>
  <c r="L205" i="4"/>
  <c r="L71" i="4"/>
  <c r="L33" i="4"/>
  <c r="Q249" i="4"/>
  <c r="R242" i="4"/>
  <c r="P57" i="4"/>
  <c r="Q219" i="4"/>
  <c r="P69" i="4"/>
  <c r="M71" i="4"/>
  <c r="M205" i="4"/>
  <c r="K407" i="4"/>
  <c r="K410" i="4" s="1"/>
  <c r="O88" i="4"/>
  <c r="Q318" i="4"/>
  <c r="R318" i="4" s="1"/>
  <c r="Q315" i="4"/>
  <c r="Q301" i="4"/>
  <c r="R301" i="4" s="1"/>
  <c r="Q316" i="4"/>
  <c r="R316" i="4" s="1"/>
  <c r="R327" i="4"/>
  <c r="S327" i="4" s="1"/>
  <c r="Q309" i="4"/>
  <c r="R309" i="4" s="1"/>
  <c r="Q321" i="4"/>
  <c r="R321" i="4" s="1"/>
  <c r="Q302" i="4"/>
  <c r="R302" i="4" s="1"/>
  <c r="Q297" i="4"/>
  <c r="R297" i="4" s="1"/>
  <c r="Q320" i="4"/>
  <c r="R320" i="4" s="1"/>
  <c r="Q311" i="4"/>
  <c r="R311" i="4" s="1"/>
  <c r="Q298" i="4"/>
  <c r="R298" i="4" s="1"/>
  <c r="Q310" i="4"/>
  <c r="R310" i="4" s="1"/>
  <c r="Q300" i="4"/>
  <c r="R300" i="4" s="1"/>
  <c r="R234" i="4"/>
  <c r="E27" i="3" s="1"/>
  <c r="K73" i="4"/>
  <c r="P247" i="4"/>
  <c r="R296" i="4"/>
  <c r="L14" i="4"/>
  <c r="AD280" i="4"/>
  <c r="K211" i="4"/>
  <c r="J213" i="4"/>
  <c r="J159" i="4"/>
  <c r="P248" i="4"/>
  <c r="P89" i="4" s="1"/>
  <c r="O331" i="4"/>
  <c r="O122" i="4"/>
  <c r="O360" i="4"/>
  <c r="O84" i="4"/>
  <c r="O257" i="4"/>
  <c r="P1" i="4"/>
  <c r="O9" i="4"/>
  <c r="O172" i="4"/>
  <c r="O385" i="4"/>
  <c r="O49" i="4"/>
  <c r="O228" i="4"/>
  <c r="O402" i="4"/>
  <c r="O293" i="4"/>
  <c r="AG239" i="4" l="1"/>
  <c r="AH239" i="4" s="1"/>
  <c r="AF240" i="4"/>
  <c r="P218" i="4"/>
  <c r="O56" i="4"/>
  <c r="O15" i="4"/>
  <c r="O68" i="4"/>
  <c r="AY30" i="15"/>
  <c r="AY37" i="15" s="1"/>
  <c r="AY29" i="15"/>
  <c r="AY36" i="15" s="1"/>
  <c r="AY28" i="15"/>
  <c r="AY35" i="15" s="1"/>
  <c r="AY27" i="15"/>
  <c r="AY34" i="15" s="1"/>
  <c r="AY26" i="15"/>
  <c r="AY33" i="15" s="1"/>
  <c r="M112" i="4"/>
  <c r="M22" i="4" s="1"/>
  <c r="N92" i="4"/>
  <c r="N139" i="4" s="1"/>
  <c r="L31" i="4"/>
  <c r="M21" i="4"/>
  <c r="O251" i="4"/>
  <c r="M144" i="4"/>
  <c r="N30" i="4" s="1"/>
  <c r="M143" i="4"/>
  <c r="M391" i="4"/>
  <c r="M31" i="4" s="1"/>
  <c r="P390" i="4"/>
  <c r="M32" i="4"/>
  <c r="AZ23" i="15"/>
  <c r="O92" i="4"/>
  <c r="O141" i="4" s="1"/>
  <c r="O322" i="4"/>
  <c r="O133" i="4" s="1"/>
  <c r="O135" i="4" s="1"/>
  <c r="M354" i="4"/>
  <c r="L193" i="4"/>
  <c r="L55" i="4" s="1"/>
  <c r="L72" i="4"/>
  <c r="N27" i="4"/>
  <c r="N191" i="4"/>
  <c r="O97" i="4"/>
  <c r="O99" i="4" s="1"/>
  <c r="Q272" i="4"/>
  <c r="Q276" i="4" s="1"/>
  <c r="P308" i="4"/>
  <c r="P312" i="4" s="1"/>
  <c r="P110" i="4" s="1"/>
  <c r="N388" i="4"/>
  <c r="N185" i="4"/>
  <c r="O288" i="4"/>
  <c r="O132" i="4"/>
  <c r="O349" i="4"/>
  <c r="O376" i="4" s="1"/>
  <c r="O348" i="4"/>
  <c r="O350" i="4"/>
  <c r="N99" i="4"/>
  <c r="N375" i="4"/>
  <c r="N351" i="4"/>
  <c r="N352" i="4" a="1"/>
  <c r="N352" i="4" s="1"/>
  <c r="M187" i="4"/>
  <c r="P236" i="4"/>
  <c r="P246" i="4"/>
  <c r="L380" i="4"/>
  <c r="L104" i="4"/>
  <c r="L105" i="4" s="1"/>
  <c r="L106" i="4" s="1"/>
  <c r="L117" i="4"/>
  <c r="L118" i="4" s="1"/>
  <c r="O336" i="4"/>
  <c r="O365" i="4" s="1"/>
  <c r="O335" i="4"/>
  <c r="O364" i="4" s="1"/>
  <c r="O96" i="4"/>
  <c r="O334" i="4"/>
  <c r="O363" i="4" s="1"/>
  <c r="P212" i="4"/>
  <c r="P64" i="4" s="1"/>
  <c r="O160" i="4"/>
  <c r="N29" i="4"/>
  <c r="N102" i="4"/>
  <c r="N101" i="4"/>
  <c r="N103" i="4"/>
  <c r="Q281" i="4"/>
  <c r="P317" i="4"/>
  <c r="P286" i="4"/>
  <c r="N136" i="4"/>
  <c r="N137" i="4"/>
  <c r="N138" i="4"/>
  <c r="N372" i="4"/>
  <c r="N116" i="4" s="1"/>
  <c r="M355" i="4"/>
  <c r="M408" i="4" s="1"/>
  <c r="M414" i="4" s="1"/>
  <c r="O114" i="4"/>
  <c r="O113" i="4"/>
  <c r="Q263" i="4"/>
  <c r="P267" i="4"/>
  <c r="P299" i="4"/>
  <c r="P303" i="4" s="1"/>
  <c r="P97" i="4" s="1"/>
  <c r="P341" i="4"/>
  <c r="P369" i="4" s="1"/>
  <c r="P109" i="4"/>
  <c r="P115" i="4" s="1"/>
  <c r="P343" i="4"/>
  <c r="P342" i="4"/>
  <c r="N365" i="4"/>
  <c r="N192" i="4" s="1"/>
  <c r="N186" i="4"/>
  <c r="M366" i="4"/>
  <c r="M190" i="4"/>
  <c r="M193" i="4" s="1"/>
  <c r="Q283" i="4"/>
  <c r="P319" i="4"/>
  <c r="N28" i="4"/>
  <c r="R270" i="4"/>
  <c r="T270" i="4" s="1"/>
  <c r="U270" i="4" s="1"/>
  <c r="V270" i="4" s="1"/>
  <c r="N184" i="4"/>
  <c r="N338" i="4" a="1"/>
  <c r="N338" i="4" s="1"/>
  <c r="N337" i="4"/>
  <c r="L32" i="4"/>
  <c r="P250" i="4"/>
  <c r="Q307" i="4"/>
  <c r="R307" i="4" s="1"/>
  <c r="R271" i="4"/>
  <c r="S307" i="4" s="1"/>
  <c r="N133" i="4"/>
  <c r="N135" i="4" s="1"/>
  <c r="N324" i="4"/>
  <c r="N203" i="4" s="1"/>
  <c r="N60" i="4" s="1"/>
  <c r="O344" i="4"/>
  <c r="O369" i="4"/>
  <c r="O372" i="4" s="1"/>
  <c r="O116" i="4" s="1"/>
  <c r="O345" i="4" a="1"/>
  <c r="O345" i="4" s="1"/>
  <c r="Q207" i="4"/>
  <c r="J76" i="4"/>
  <c r="T279" i="4"/>
  <c r="R315" i="4"/>
  <c r="L62" i="4"/>
  <c r="L413" i="4"/>
  <c r="L416" i="4" s="1"/>
  <c r="L158" i="4"/>
  <c r="L407" i="4"/>
  <c r="L410" i="4" s="1"/>
  <c r="L73" i="4"/>
  <c r="J16" i="4"/>
  <c r="J18" i="4" s="1"/>
  <c r="V274" i="4"/>
  <c r="L211" i="4"/>
  <c r="K213" i="4"/>
  <c r="K159" i="4"/>
  <c r="Q248" i="4"/>
  <c r="R241" i="4"/>
  <c r="R306" i="4"/>
  <c r="S296" i="4"/>
  <c r="J410" i="4"/>
  <c r="J416" i="4"/>
  <c r="AE280" i="4"/>
  <c r="AF280" i="4" s="1"/>
  <c r="Q247" i="4"/>
  <c r="R240" i="4"/>
  <c r="Q57" i="4"/>
  <c r="R57" i="4" s="1"/>
  <c r="C88" i="6" s="1"/>
  <c r="R219" i="4"/>
  <c r="Q69" i="4"/>
  <c r="R69" i="4" s="1"/>
  <c r="S249" i="4"/>
  <c r="J38" i="4"/>
  <c r="Q326" i="4"/>
  <c r="L22" i="4"/>
  <c r="AE284" i="4"/>
  <c r="AF284" i="4" s="1"/>
  <c r="P88" i="4"/>
  <c r="S315" i="4"/>
  <c r="S311" i="4"/>
  <c r="S309" i="4"/>
  <c r="S316" i="4"/>
  <c r="T327" i="4"/>
  <c r="S321" i="4"/>
  <c r="S302" i="4"/>
  <c r="S318" i="4"/>
  <c r="S301" i="4"/>
  <c r="S297" i="4"/>
  <c r="S320" i="4"/>
  <c r="S300" i="4"/>
  <c r="S298" i="4"/>
  <c r="S310" i="4"/>
  <c r="M62" i="4"/>
  <c r="M413" i="4"/>
  <c r="M158" i="4"/>
  <c r="M73" i="4"/>
  <c r="M407" i="4"/>
  <c r="Q90" i="4"/>
  <c r="R90" i="4" s="1"/>
  <c r="C15" i="6" s="1"/>
  <c r="R249" i="4"/>
  <c r="E35" i="3" s="1"/>
  <c r="J161" i="4"/>
  <c r="J39" i="4"/>
  <c r="K63" i="4"/>
  <c r="K16" i="4" s="1"/>
  <c r="K18" i="4" s="1"/>
  <c r="K74" i="4"/>
  <c r="K38" i="4" s="1"/>
  <c r="L206" i="4"/>
  <c r="P9" i="4"/>
  <c r="P360" i="4"/>
  <c r="P402" i="4"/>
  <c r="P172" i="4"/>
  <c r="P331" i="4"/>
  <c r="P257" i="4"/>
  <c r="P84" i="4"/>
  <c r="P293" i="4"/>
  <c r="P49" i="4"/>
  <c r="Q1" i="4"/>
  <c r="P385" i="4"/>
  <c r="P228" i="4"/>
  <c r="P122" i="4"/>
  <c r="AG240" i="4" l="1"/>
  <c r="AH240" i="4" s="1"/>
  <c r="AF241" i="4"/>
  <c r="AG241" i="4" s="1"/>
  <c r="AH241" i="4" s="1"/>
  <c r="N178" i="4"/>
  <c r="N179" i="4" s="1"/>
  <c r="N180" i="4" s="1"/>
  <c r="M117" i="4"/>
  <c r="M118" i="4" s="1"/>
  <c r="P56" i="4"/>
  <c r="P68" i="4"/>
  <c r="Q218" i="4"/>
  <c r="P15" i="4"/>
  <c r="AZ30" i="15"/>
  <c r="AZ37" i="15" s="1"/>
  <c r="AZ29" i="15"/>
  <c r="AZ36" i="15" s="1"/>
  <c r="AZ28" i="15"/>
  <c r="AZ35" i="15" s="1"/>
  <c r="AZ27" i="15"/>
  <c r="AZ34" i="15" s="1"/>
  <c r="AZ26" i="15"/>
  <c r="AZ33" i="15" s="1"/>
  <c r="N111" i="4"/>
  <c r="N23" i="4" s="1"/>
  <c r="N129" i="4"/>
  <c r="N141" i="4"/>
  <c r="M55" i="4"/>
  <c r="O129" i="4"/>
  <c r="O139" i="4"/>
  <c r="O33" i="4" s="1"/>
  <c r="O178" i="4"/>
  <c r="O179" i="4" s="1"/>
  <c r="O180" i="4" s="1"/>
  <c r="O205" i="4" s="1"/>
  <c r="O111" i="4"/>
  <c r="O23" i="4" s="1"/>
  <c r="O324" i="4"/>
  <c r="O203" i="4" s="1"/>
  <c r="O60" i="4" s="1"/>
  <c r="M142" i="4"/>
  <c r="N144" i="4"/>
  <c r="O30" i="4" s="1"/>
  <c r="N143" i="4"/>
  <c r="N391" i="4"/>
  <c r="N142" i="4" s="1"/>
  <c r="Q390" i="4"/>
  <c r="N32" i="4"/>
  <c r="BA23" i="15"/>
  <c r="P251" i="4"/>
  <c r="S306" i="4"/>
  <c r="P75" i="4"/>
  <c r="N354" i="4"/>
  <c r="L195" i="4"/>
  <c r="P322" i="4"/>
  <c r="P133" i="4" s="1"/>
  <c r="P135" i="4" s="1"/>
  <c r="M416" i="4"/>
  <c r="O28" i="4"/>
  <c r="O185" i="4"/>
  <c r="O191" i="4"/>
  <c r="O366" i="4"/>
  <c r="N21" i="4"/>
  <c r="P91" i="4"/>
  <c r="N187" i="4"/>
  <c r="P345" i="4" a="1"/>
  <c r="P345" i="4" s="1"/>
  <c r="P344" i="4"/>
  <c r="R263" i="4"/>
  <c r="Q267" i="4"/>
  <c r="Q299" i="4"/>
  <c r="O29" i="4"/>
  <c r="M410" i="4"/>
  <c r="T271" i="4"/>
  <c r="T307" i="4" s="1"/>
  <c r="R243" i="4"/>
  <c r="Q250" i="4"/>
  <c r="Q91" i="4" s="1"/>
  <c r="R283" i="4"/>
  <c r="Q319" i="4"/>
  <c r="R319" i="4" s="1"/>
  <c r="M104" i="4"/>
  <c r="M105" i="4" s="1"/>
  <c r="M106" i="4" s="1"/>
  <c r="M380" i="4"/>
  <c r="P370" i="4"/>
  <c r="P350" i="4"/>
  <c r="P377" i="4" s="1"/>
  <c r="P349" i="4"/>
  <c r="P376" i="4" s="1"/>
  <c r="P348" i="4"/>
  <c r="P132" i="4"/>
  <c r="O27" i="4"/>
  <c r="P160" i="4"/>
  <c r="Q212" i="4"/>
  <c r="Q75" i="4" s="1"/>
  <c r="R231" i="4"/>
  <c r="E24" i="3" s="1"/>
  <c r="Q246" i="4"/>
  <c r="Q87" i="4" s="1"/>
  <c r="Q236" i="4"/>
  <c r="R236" i="4" s="1"/>
  <c r="N190" i="4"/>
  <c r="N193" i="4" s="1"/>
  <c r="N55" i="4" s="1"/>
  <c r="N378" i="4"/>
  <c r="N145" i="4" s="1"/>
  <c r="O136" i="4"/>
  <c r="O137" i="4"/>
  <c r="O138" i="4"/>
  <c r="R272" i="4"/>
  <c r="Q308" i="4"/>
  <c r="R308" i="4" s="1"/>
  <c r="N366" i="4"/>
  <c r="Q342" i="4"/>
  <c r="R342" i="4" s="1"/>
  <c r="Q109" i="4"/>
  <c r="Q115" i="4" s="1"/>
  <c r="R115" i="4" s="1"/>
  <c r="Q341" i="4"/>
  <c r="R341" i="4" s="1"/>
  <c r="R276" i="4"/>
  <c r="E63" i="3" s="1"/>
  <c r="Q343" i="4"/>
  <c r="Q371" i="4" s="1"/>
  <c r="P371" i="4"/>
  <c r="O184" i="4"/>
  <c r="O338" i="4" a="1"/>
  <c r="O338" i="4" s="1"/>
  <c r="O337" i="4"/>
  <c r="M37" i="4"/>
  <c r="M72" i="4"/>
  <c r="M195" i="4"/>
  <c r="O186" i="4"/>
  <c r="O377" i="4"/>
  <c r="O192" i="4" s="1"/>
  <c r="O388" i="4"/>
  <c r="P114" i="4"/>
  <c r="P113" i="4"/>
  <c r="P334" i="4"/>
  <c r="P336" i="4"/>
  <c r="P96" i="4"/>
  <c r="P335" i="4"/>
  <c r="P288" i="4"/>
  <c r="R281" i="4"/>
  <c r="Q286" i="4"/>
  <c r="Q317" i="4"/>
  <c r="O101" i="4"/>
  <c r="O102" i="4"/>
  <c r="O103" i="4"/>
  <c r="P87" i="4"/>
  <c r="N355" i="4"/>
  <c r="N408" i="4" s="1"/>
  <c r="O352" i="4" a="1"/>
  <c r="O352" i="4" s="1"/>
  <c r="O351" i="4"/>
  <c r="O375" i="4"/>
  <c r="N31" i="4"/>
  <c r="R207" i="4"/>
  <c r="U279" i="4"/>
  <c r="K76" i="4"/>
  <c r="AG284" i="4"/>
  <c r="S90" i="4"/>
  <c r="K161" i="4"/>
  <c r="K39" i="4"/>
  <c r="W270" i="4"/>
  <c r="L63" i="4"/>
  <c r="L16" i="4" s="1"/>
  <c r="L18" i="4" s="1"/>
  <c r="L74" i="4"/>
  <c r="L76" i="4" s="1"/>
  <c r="M206" i="4"/>
  <c r="T249" i="4"/>
  <c r="T90" i="4" s="1"/>
  <c r="AG280" i="4"/>
  <c r="W274" i="4"/>
  <c r="U327" i="4"/>
  <c r="U296" i="4" s="1"/>
  <c r="T301" i="4"/>
  <c r="T302" i="4"/>
  <c r="T316" i="4"/>
  <c r="T315" i="4"/>
  <c r="T321" i="4"/>
  <c r="T320" i="4"/>
  <c r="T311" i="4"/>
  <c r="T318" i="4"/>
  <c r="T297" i="4"/>
  <c r="T309" i="4"/>
  <c r="T310" i="4"/>
  <c r="T298" i="4"/>
  <c r="T306" i="4"/>
  <c r="T300" i="4"/>
  <c r="T296" i="4"/>
  <c r="S247" i="4"/>
  <c r="S248" i="4"/>
  <c r="L213" i="4"/>
  <c r="L159" i="4"/>
  <c r="L39" i="4" s="1"/>
  <c r="M211" i="4"/>
  <c r="S326" i="4"/>
  <c r="R326" i="4"/>
  <c r="S219" i="4"/>
  <c r="C72" i="6"/>
  <c r="Q88" i="4"/>
  <c r="R247" i="4"/>
  <c r="E33" i="3" s="1"/>
  <c r="Q89" i="4"/>
  <c r="R248" i="4"/>
  <c r="E34" i="3" s="1"/>
  <c r="N33" i="4"/>
  <c r="Q228" i="4"/>
  <c r="Q9" i="4"/>
  <c r="Q49" i="4"/>
  <c r="Q331" i="4"/>
  <c r="Q257" i="4"/>
  <c r="Q293" i="4"/>
  <c r="S1" i="4"/>
  <c r="R1" i="4"/>
  <c r="Q385" i="4"/>
  <c r="Q402" i="4"/>
  <c r="Q84" i="4"/>
  <c r="Q122" i="4"/>
  <c r="Q172" i="4"/>
  <c r="Q360" i="4"/>
  <c r="S272" i="4" l="1"/>
  <c r="T272" i="4" s="1"/>
  <c r="N112" i="4"/>
  <c r="N22" i="4" s="1"/>
  <c r="Q68" i="4"/>
  <c r="R68" i="4" s="1"/>
  <c r="Q56" i="4"/>
  <c r="R56" i="4" s="1"/>
  <c r="C87" i="6" s="1"/>
  <c r="R218" i="4"/>
  <c r="Q15" i="4"/>
  <c r="R15" i="4" s="1"/>
  <c r="BA30" i="15"/>
  <c r="BA37" i="15" s="1"/>
  <c r="BA29" i="15"/>
  <c r="BA36" i="15" s="1"/>
  <c r="BA28" i="15"/>
  <c r="BA35" i="15" s="1"/>
  <c r="BA27" i="15"/>
  <c r="BA34" i="15" s="1"/>
  <c r="BA26" i="15"/>
  <c r="BA33" i="15" s="1"/>
  <c r="R75" i="4"/>
  <c r="C104" i="6" s="1"/>
  <c r="O21" i="4"/>
  <c r="O112" i="4"/>
  <c r="O22" i="4" s="1"/>
  <c r="O144" i="4"/>
  <c r="P30" i="4" s="1"/>
  <c r="O143" i="4"/>
  <c r="O391" i="4"/>
  <c r="O31" i="4" s="1"/>
  <c r="P324" i="4"/>
  <c r="P203" i="4" s="1"/>
  <c r="P60" i="4" s="1"/>
  <c r="Q251" i="4"/>
  <c r="R251" i="4" s="1"/>
  <c r="S390" i="4"/>
  <c r="R390" i="4"/>
  <c r="O32" i="4"/>
  <c r="BB23" i="15"/>
  <c r="P92" i="4"/>
  <c r="R343" i="4"/>
  <c r="O378" i="4"/>
  <c r="O145" i="4" s="1"/>
  <c r="R317" i="4"/>
  <c r="Q322" i="4"/>
  <c r="P185" i="4"/>
  <c r="P29" i="4"/>
  <c r="S236" i="4"/>
  <c r="S246" i="4"/>
  <c r="S87" i="4" s="1"/>
  <c r="R299" i="4"/>
  <c r="Q303" i="4"/>
  <c r="R250" i="4"/>
  <c r="E36" i="3" s="1"/>
  <c r="O355" i="4"/>
  <c r="O408" i="4" s="1"/>
  <c r="O414" i="4" s="1"/>
  <c r="Q288" i="4"/>
  <c r="R286" i="4"/>
  <c r="E64" i="3" s="1"/>
  <c r="Q349" i="4"/>
  <c r="Q350" i="4"/>
  <c r="Q132" i="4"/>
  <c r="Q348" i="4"/>
  <c r="P103" i="4"/>
  <c r="P101" i="4"/>
  <c r="P102" i="4"/>
  <c r="O354" i="4"/>
  <c r="N104" i="4"/>
  <c r="N105" i="4" s="1"/>
  <c r="N106" i="4" s="1"/>
  <c r="N380" i="4"/>
  <c r="P28" i="4"/>
  <c r="T283" i="4"/>
  <c r="S319" i="4"/>
  <c r="U271" i="4"/>
  <c r="U307" i="4" s="1"/>
  <c r="Q336" i="4"/>
  <c r="R336" i="4" s="1"/>
  <c r="Q334" i="4"/>
  <c r="Q96" i="4"/>
  <c r="Q335" i="4"/>
  <c r="R335" i="4" s="1"/>
  <c r="R267" i="4"/>
  <c r="E62" i="3" s="1"/>
  <c r="N72" i="4"/>
  <c r="N37" i="4"/>
  <c r="N195" i="4"/>
  <c r="R91" i="4"/>
  <c r="C16" i="6" s="1"/>
  <c r="P99" i="4"/>
  <c r="O104" i="4"/>
  <c r="O105" i="4" s="1"/>
  <c r="O106" i="4" s="1"/>
  <c r="N414" i="4"/>
  <c r="N206" i="4" s="1"/>
  <c r="T281" i="4"/>
  <c r="S286" i="4"/>
  <c r="S317" i="4"/>
  <c r="P365" i="4"/>
  <c r="P186" i="4"/>
  <c r="P372" i="4"/>
  <c r="R371" i="4"/>
  <c r="Q345" i="4" a="1"/>
  <c r="Q345" i="4" s="1"/>
  <c r="R345" i="4" s="1"/>
  <c r="Q344" i="4"/>
  <c r="R344" i="4" s="1"/>
  <c r="R87" i="4"/>
  <c r="C12" i="6" s="1"/>
  <c r="Q160" i="4"/>
  <c r="R160" i="4" s="1"/>
  <c r="R212" i="4"/>
  <c r="P137" i="4"/>
  <c r="P138" i="4"/>
  <c r="P136" i="4"/>
  <c r="P364" i="4"/>
  <c r="S267" i="4"/>
  <c r="S299" i="4"/>
  <c r="S303" i="4" s="1"/>
  <c r="S97" i="4" s="1"/>
  <c r="O190" i="4"/>
  <c r="O193" i="4" s="1"/>
  <c r="O55" i="4" s="1"/>
  <c r="L38" i="4"/>
  <c r="Q64" i="4"/>
  <c r="R64" i="4" s="1"/>
  <c r="C95" i="6" s="1"/>
  <c r="R246" i="4"/>
  <c r="E32" i="3" s="1"/>
  <c r="P27" i="4"/>
  <c r="P388" i="4"/>
  <c r="P338" i="4" a="1"/>
  <c r="P338" i="4" s="1"/>
  <c r="P337" i="4"/>
  <c r="P184" i="4"/>
  <c r="P363" i="4"/>
  <c r="O187" i="4"/>
  <c r="R109" i="4"/>
  <c r="Q113" i="4"/>
  <c r="R113" i="4" s="1"/>
  <c r="Q114" i="4"/>
  <c r="R114" i="4" s="1"/>
  <c r="P375" i="4"/>
  <c r="P378" i="4" s="1"/>
  <c r="P145" i="4" s="1"/>
  <c r="P352" i="4" a="1"/>
  <c r="P352" i="4" s="1"/>
  <c r="P351" i="4"/>
  <c r="Q370" i="4"/>
  <c r="R370" i="4" s="1"/>
  <c r="S250" i="4"/>
  <c r="S91" i="4" s="1"/>
  <c r="Q312" i="4"/>
  <c r="Q369" i="4"/>
  <c r="S207" i="4"/>
  <c r="C60" i="6"/>
  <c r="V279" i="4"/>
  <c r="O71" i="4"/>
  <c r="O14" i="4"/>
  <c r="T219" i="4"/>
  <c r="S69" i="4"/>
  <c r="S57" i="4"/>
  <c r="M159" i="4"/>
  <c r="M213" i="4"/>
  <c r="S89" i="4"/>
  <c r="X274" i="4"/>
  <c r="M63" i="4"/>
  <c r="M16" i="4" s="1"/>
  <c r="M18" i="4" s="1"/>
  <c r="M74" i="4"/>
  <c r="Q92" i="4"/>
  <c r="R88" i="4"/>
  <c r="C13" i="6" s="1"/>
  <c r="T326" i="4"/>
  <c r="AH284" i="4"/>
  <c r="R89" i="4"/>
  <c r="C14" i="6" s="1"/>
  <c r="S88" i="4"/>
  <c r="N205" i="4"/>
  <c r="O73" i="4" s="1"/>
  <c r="N71" i="4"/>
  <c r="N14" i="4"/>
  <c r="L161" i="4"/>
  <c r="T248" i="4"/>
  <c r="T89" i="4" s="1"/>
  <c r="T247" i="4"/>
  <c r="U315" i="4"/>
  <c r="U311" i="4"/>
  <c r="U318" i="4"/>
  <c r="U297" i="4"/>
  <c r="U309" i="4"/>
  <c r="U321" i="4"/>
  <c r="U302" i="4"/>
  <c r="V327" i="4"/>
  <c r="V296" i="4" s="1"/>
  <c r="U301" i="4"/>
  <c r="U316" i="4"/>
  <c r="U320" i="4"/>
  <c r="U306" i="4"/>
  <c r="U298" i="4"/>
  <c r="U310" i="4"/>
  <c r="U300" i="4"/>
  <c r="AH280" i="4"/>
  <c r="U249" i="4"/>
  <c r="U90" i="4" s="1"/>
  <c r="X270" i="4"/>
  <c r="O158" i="4"/>
  <c r="C1" i="6"/>
  <c r="R228" i="4"/>
  <c r="R84" i="4"/>
  <c r="R360" i="4"/>
  <c r="R385" i="4"/>
  <c r="R257" i="4"/>
  <c r="R402" i="4"/>
  <c r="R172" i="4"/>
  <c r="E23" i="3"/>
  <c r="R49" i="4"/>
  <c r="R122" i="4"/>
  <c r="R9" i="4"/>
  <c r="R331" i="4"/>
  <c r="R293" i="4"/>
  <c r="S172" i="4"/>
  <c r="S360" i="4"/>
  <c r="S84" i="4"/>
  <c r="S257" i="4"/>
  <c r="S331" i="4"/>
  <c r="S228" i="4"/>
  <c r="S9" i="4"/>
  <c r="S385" i="4"/>
  <c r="S402" i="4"/>
  <c r="S49" i="4"/>
  <c r="S122" i="4"/>
  <c r="T1" i="4"/>
  <c r="S293" i="4"/>
  <c r="N117" i="4" l="1"/>
  <c r="N118" i="4" s="1"/>
  <c r="S276" i="4"/>
  <c r="S288" i="4" s="1"/>
  <c r="S308" i="4"/>
  <c r="S312" i="4" s="1"/>
  <c r="S110" i="4" s="1"/>
  <c r="S218" i="4"/>
  <c r="C71" i="6"/>
  <c r="BB30" i="15"/>
  <c r="BB37" i="15" s="1"/>
  <c r="BB29" i="15"/>
  <c r="BB36" i="15" s="1"/>
  <c r="BB28" i="15"/>
  <c r="BB35" i="15" s="1"/>
  <c r="BB27" i="15"/>
  <c r="BB34" i="15" s="1"/>
  <c r="BB26" i="15"/>
  <c r="BB33" i="15" s="1"/>
  <c r="O117" i="4"/>
  <c r="O118" i="4" s="1"/>
  <c r="Q29" i="4"/>
  <c r="R29" i="4" s="1"/>
  <c r="O142" i="4"/>
  <c r="P139" i="4"/>
  <c r="P33" i="4" s="1"/>
  <c r="P144" i="4"/>
  <c r="Q30" i="4" s="1"/>
  <c r="R30" i="4" s="1"/>
  <c r="P143" i="4"/>
  <c r="P391" i="4"/>
  <c r="P31" i="4" s="1"/>
  <c r="P21" i="4"/>
  <c r="P178" i="4"/>
  <c r="P179" i="4" s="1"/>
  <c r="P180" i="4" s="1"/>
  <c r="P205" i="4" s="1"/>
  <c r="T390" i="4"/>
  <c r="BC23" i="15"/>
  <c r="P111" i="4"/>
  <c r="P141" i="4"/>
  <c r="P129" i="4"/>
  <c r="S251" i="4"/>
  <c r="S322" i="4"/>
  <c r="S133" i="4" s="1"/>
  <c r="S135" i="4" s="1"/>
  <c r="Q28" i="4"/>
  <c r="R28" i="4" s="1"/>
  <c r="Q186" i="4"/>
  <c r="R186" i="4" s="1"/>
  <c r="N211" i="4"/>
  <c r="N159" i="4" s="1"/>
  <c r="P187" i="4"/>
  <c r="P37" i="4" s="1"/>
  <c r="O380" i="4"/>
  <c r="Q110" i="4"/>
  <c r="R110" i="4" s="1"/>
  <c r="R312" i="4"/>
  <c r="U272" i="4"/>
  <c r="T308" i="4"/>
  <c r="T312" i="4" s="1"/>
  <c r="T110" i="4" s="1"/>
  <c r="O72" i="4"/>
  <c r="O37" i="4"/>
  <c r="O195" i="4"/>
  <c r="P191" i="4"/>
  <c r="C65" i="6"/>
  <c r="S212" i="4"/>
  <c r="S64" i="4" s="1"/>
  <c r="U281" i="4"/>
  <c r="T286" i="4"/>
  <c r="T317" i="4"/>
  <c r="Q102" i="4"/>
  <c r="R102" i="4" s="1"/>
  <c r="R96" i="4"/>
  <c r="Q101" i="4"/>
  <c r="R101" i="4" s="1"/>
  <c r="Q103" i="4"/>
  <c r="R103" i="4" s="1"/>
  <c r="V271" i="4"/>
  <c r="V307" i="4" s="1"/>
  <c r="Q375" i="4"/>
  <c r="R375" i="4" s="1"/>
  <c r="R348" i="4"/>
  <c r="Q351" i="4"/>
  <c r="R351" i="4" s="1"/>
  <c r="Q352" i="4" a="1"/>
  <c r="Q352" i="4" s="1"/>
  <c r="R352" i="4" s="1"/>
  <c r="E65" i="3"/>
  <c r="T246" i="4"/>
  <c r="T87" i="4" s="1"/>
  <c r="T236" i="4"/>
  <c r="T250" i="4"/>
  <c r="T91" i="4" s="1"/>
  <c r="P355" i="4"/>
  <c r="P366" i="4"/>
  <c r="P190" i="4"/>
  <c r="P354" i="4"/>
  <c r="P192" i="4"/>
  <c r="Q184" i="4"/>
  <c r="Q337" i="4"/>
  <c r="Q338" i="4" a="1"/>
  <c r="Q338" i="4" s="1"/>
  <c r="R334" i="4"/>
  <c r="Q363" i="4"/>
  <c r="R363" i="4" s="1"/>
  <c r="Q136" i="4"/>
  <c r="R136" i="4" s="1"/>
  <c r="Q137" i="4"/>
  <c r="R137" i="4" s="1"/>
  <c r="Q138" i="4"/>
  <c r="R138" i="4" s="1"/>
  <c r="R132" i="4"/>
  <c r="R288" i="4"/>
  <c r="Q388" i="4"/>
  <c r="Q97" i="4"/>
  <c r="R97" i="4" s="1"/>
  <c r="Q324" i="4"/>
  <c r="R303" i="4"/>
  <c r="P32" i="4"/>
  <c r="S335" i="4"/>
  <c r="S336" i="4"/>
  <c r="S365" i="4" s="1"/>
  <c r="S334" i="4"/>
  <c r="S96" i="4"/>
  <c r="P116" i="4"/>
  <c r="Q27" i="4"/>
  <c r="R27" i="4" s="1"/>
  <c r="R350" i="4"/>
  <c r="Q377" i="4"/>
  <c r="R377" i="4" s="1"/>
  <c r="Q133" i="4"/>
  <c r="R322" i="4"/>
  <c r="Q365" i="4"/>
  <c r="Q372" i="4"/>
  <c r="Q116" i="4" s="1"/>
  <c r="R369" i="4"/>
  <c r="T267" i="4"/>
  <c r="T299" i="4"/>
  <c r="T303" i="4" s="1"/>
  <c r="T97" i="4" s="1"/>
  <c r="S349" i="4"/>
  <c r="S348" i="4"/>
  <c r="S350" i="4"/>
  <c r="S132" i="4"/>
  <c r="Q185" i="4"/>
  <c r="R185" i="4" s="1"/>
  <c r="T276" i="4"/>
  <c r="U283" i="4"/>
  <c r="T319" i="4"/>
  <c r="R349" i="4"/>
  <c r="S376" i="4" s="1"/>
  <c r="Q376" i="4"/>
  <c r="R376" i="4" s="1"/>
  <c r="Q364" i="4"/>
  <c r="T207" i="4"/>
  <c r="W279" i="4"/>
  <c r="O413" i="4"/>
  <c r="O416" i="4" s="1"/>
  <c r="O407" i="4"/>
  <c r="O410" i="4" s="1"/>
  <c r="O62" i="4"/>
  <c r="V301" i="4"/>
  <c r="V309" i="4"/>
  <c r="V321" i="4"/>
  <c r="W327" i="4"/>
  <c r="W296" i="4" s="1"/>
  <c r="V318" i="4"/>
  <c r="V302" i="4"/>
  <c r="V297" i="4"/>
  <c r="V311" i="4"/>
  <c r="V315" i="4"/>
  <c r="V320" i="4"/>
  <c r="V316" i="4"/>
  <c r="V310" i="4"/>
  <c r="V298" i="4"/>
  <c r="V306" i="4"/>
  <c r="V300" i="4"/>
  <c r="N407" i="4"/>
  <c r="N158" i="4"/>
  <c r="N62" i="4"/>
  <c r="N73" i="4"/>
  <c r="N413" i="4"/>
  <c r="S92" i="4"/>
  <c r="U326" i="4"/>
  <c r="T69" i="4"/>
  <c r="T57" i="4"/>
  <c r="U219" i="4"/>
  <c r="Y270" i="4"/>
  <c r="T88" i="4"/>
  <c r="U248" i="4"/>
  <c r="U89" i="4" s="1"/>
  <c r="C17" i="6"/>
  <c r="D11" i="19" s="1"/>
  <c r="AH40" i="19" s="1"/>
  <c r="M76" i="4"/>
  <c r="M38" i="4"/>
  <c r="Y274" i="4"/>
  <c r="M161" i="4"/>
  <c r="M39" i="4"/>
  <c r="V249" i="4"/>
  <c r="U247" i="4"/>
  <c r="Q111" i="4"/>
  <c r="Q23" i="4" s="1"/>
  <c r="Q141" i="4"/>
  <c r="Q178" i="4"/>
  <c r="Q139" i="4"/>
  <c r="Q129" i="4"/>
  <c r="R92" i="4"/>
  <c r="R98" i="4"/>
  <c r="S99" i="4"/>
  <c r="O206" i="4"/>
  <c r="E61" i="3"/>
  <c r="E31" i="3"/>
  <c r="C9" i="6"/>
  <c r="C40" i="6"/>
  <c r="C80" i="6"/>
  <c r="T293" i="4"/>
  <c r="T49" i="4"/>
  <c r="T360" i="4"/>
  <c r="U1" i="4"/>
  <c r="T122" i="4"/>
  <c r="T385" i="4"/>
  <c r="T228" i="4"/>
  <c r="T172" i="4"/>
  <c r="T9" i="4"/>
  <c r="T257" i="4"/>
  <c r="T402" i="4"/>
  <c r="T84" i="4"/>
  <c r="T331" i="4"/>
  <c r="AH41" i="19" l="1"/>
  <c r="AH49" i="19"/>
  <c r="AH50" i="19" s="1"/>
  <c r="S109" i="4"/>
  <c r="S343" i="4"/>
  <c r="S371" i="4" s="1"/>
  <c r="S342" i="4"/>
  <c r="S370" i="4" s="1"/>
  <c r="S341" i="4"/>
  <c r="S56" i="4"/>
  <c r="T218" i="4"/>
  <c r="S68" i="4"/>
  <c r="S15" i="4"/>
  <c r="T24" i="4"/>
  <c r="S128" i="4"/>
  <c r="BC30" i="15"/>
  <c r="BC37" i="15" s="1"/>
  <c r="BC29" i="15"/>
  <c r="BC36" i="15" s="1"/>
  <c r="BC28" i="15"/>
  <c r="BC35" i="15" s="1"/>
  <c r="BC27" i="15"/>
  <c r="BC34" i="15" s="1"/>
  <c r="BC26" i="15"/>
  <c r="BC33" i="15" s="1"/>
  <c r="N213" i="4"/>
  <c r="S324" i="4"/>
  <c r="S203" i="4" s="1"/>
  <c r="R141" i="4"/>
  <c r="P71" i="4"/>
  <c r="P14" i="4"/>
  <c r="P142" i="4"/>
  <c r="Q143" i="4"/>
  <c r="Q391" i="4"/>
  <c r="R391" i="4" s="1"/>
  <c r="T251" i="4"/>
  <c r="T92" i="4"/>
  <c r="U390" i="4"/>
  <c r="BD23" i="15"/>
  <c r="Q99" i="4"/>
  <c r="R99" i="4" s="1"/>
  <c r="P112" i="4"/>
  <c r="P22" i="4" s="1"/>
  <c r="P23" i="4"/>
  <c r="R23" i="4" s="1"/>
  <c r="R116" i="4"/>
  <c r="N63" i="4"/>
  <c r="N16" i="4" s="1"/>
  <c r="N18" i="4" s="1"/>
  <c r="S363" i="4"/>
  <c r="Q354" i="4"/>
  <c r="R354" i="4" s="1"/>
  <c r="O211" i="4"/>
  <c r="O63" i="4" s="1"/>
  <c r="O16" i="4" s="1"/>
  <c r="O18" i="4" s="1"/>
  <c r="N74" i="4"/>
  <c r="N76" i="4" s="1"/>
  <c r="Q355" i="4"/>
  <c r="Q408" i="4" s="1"/>
  <c r="S377" i="4"/>
  <c r="P72" i="4"/>
  <c r="Q191" i="4"/>
  <c r="R191" i="4" s="1"/>
  <c r="S75" i="4"/>
  <c r="V283" i="4"/>
  <c r="U319" i="4"/>
  <c r="S138" i="4"/>
  <c r="S137" i="4"/>
  <c r="S136" i="4"/>
  <c r="U267" i="4"/>
  <c r="U299" i="4"/>
  <c r="U303" i="4" s="1"/>
  <c r="U97" i="4" s="1"/>
  <c r="U99" i="4" s="1"/>
  <c r="Q192" i="4"/>
  <c r="R192" i="4" s="1"/>
  <c r="P193" i="4"/>
  <c r="U250" i="4"/>
  <c r="U91" i="4" s="1"/>
  <c r="S27" i="4"/>
  <c r="T348" i="4"/>
  <c r="T350" i="4"/>
  <c r="T377" i="4" s="1"/>
  <c r="T132" i="4"/>
  <c r="T349" i="4"/>
  <c r="T376" i="4" s="1"/>
  <c r="R364" i="4"/>
  <c r="R372" i="4"/>
  <c r="S101" i="4"/>
  <c r="S102" i="4"/>
  <c r="S103" i="4"/>
  <c r="S388" i="4"/>
  <c r="R337" i="4"/>
  <c r="P104" i="4"/>
  <c r="P105" i="4" s="1"/>
  <c r="P106" i="4" s="1"/>
  <c r="P380" i="4"/>
  <c r="W271" i="4"/>
  <c r="V281" i="4"/>
  <c r="U317" i="4"/>
  <c r="U286" i="4"/>
  <c r="V272" i="4"/>
  <c r="U308" i="4"/>
  <c r="U312" i="4" s="1"/>
  <c r="U110" i="4" s="1"/>
  <c r="T342" i="4"/>
  <c r="T341" i="4"/>
  <c r="T109" i="4"/>
  <c r="T115" i="4" s="1"/>
  <c r="T343" i="4"/>
  <c r="S364" i="4"/>
  <c r="S352" i="4" a="1"/>
  <c r="S352" i="4" s="1"/>
  <c r="S351" i="4"/>
  <c r="Q135" i="4"/>
  <c r="R135" i="4" s="1"/>
  <c r="R133" i="4"/>
  <c r="S338" i="4" a="1"/>
  <c r="S338" i="4" s="1"/>
  <c r="S337" i="4"/>
  <c r="Q144" i="4"/>
  <c r="R388" i="4"/>
  <c r="Q366" i="4"/>
  <c r="R366" i="4" s="1"/>
  <c r="Q190" i="4"/>
  <c r="R184" i="4"/>
  <c r="Q187" i="4"/>
  <c r="P408" i="4"/>
  <c r="U236" i="4"/>
  <c r="U246" i="4"/>
  <c r="U87" i="4" s="1"/>
  <c r="S375" i="4"/>
  <c r="U276" i="4"/>
  <c r="S28" i="4"/>
  <c r="S160" i="4"/>
  <c r="T212" i="4"/>
  <c r="T64" i="4" s="1"/>
  <c r="R338" i="4"/>
  <c r="T336" i="4"/>
  <c r="T365" i="4" s="1"/>
  <c r="T288" i="4"/>
  <c r="T335" i="4"/>
  <c r="T334" i="4"/>
  <c r="T96" i="4"/>
  <c r="Q203" i="4"/>
  <c r="S60" i="4" s="1"/>
  <c r="R324" i="4"/>
  <c r="R365" i="4"/>
  <c r="Q378" i="4"/>
  <c r="S29" i="4"/>
  <c r="T322" i="4"/>
  <c r="U207" i="4"/>
  <c r="X279" i="4"/>
  <c r="R111" i="4"/>
  <c r="Q112" i="4"/>
  <c r="U88" i="4"/>
  <c r="V248" i="4"/>
  <c r="V326" i="4"/>
  <c r="N161" i="4"/>
  <c r="N39" i="4"/>
  <c r="R178" i="4"/>
  <c r="Q179" i="4"/>
  <c r="R179" i="4" s="1"/>
  <c r="V90" i="4"/>
  <c r="Z270" i="4"/>
  <c r="N416" i="4"/>
  <c r="N410" i="4"/>
  <c r="W309" i="4"/>
  <c r="X327" i="4"/>
  <c r="X296" i="4" s="1"/>
  <c r="W311" i="4"/>
  <c r="W318" i="4"/>
  <c r="W302" i="4"/>
  <c r="W321" i="4"/>
  <c r="W301" i="4"/>
  <c r="W297" i="4"/>
  <c r="W315" i="4"/>
  <c r="W320" i="4"/>
  <c r="W316" i="4"/>
  <c r="W300" i="4"/>
  <c r="W310" i="4"/>
  <c r="W298" i="4"/>
  <c r="W306" i="4"/>
  <c r="P158" i="4"/>
  <c r="P413" i="4"/>
  <c r="P407" i="4"/>
  <c r="P73" i="4"/>
  <c r="P62" i="4"/>
  <c r="Q33" i="4"/>
  <c r="R33" i="4" s="1"/>
  <c r="R139" i="4"/>
  <c r="W249" i="4"/>
  <c r="W90" i="4" s="1"/>
  <c r="Z274" i="4"/>
  <c r="T99" i="4"/>
  <c r="AE233" i="4"/>
  <c r="F26" i="3" s="1"/>
  <c r="R129" i="4"/>
  <c r="R93" i="4"/>
  <c r="R289" i="4"/>
  <c r="V247" i="4"/>
  <c r="V219" i="4"/>
  <c r="U69" i="4"/>
  <c r="U57" i="4"/>
  <c r="S141" i="4"/>
  <c r="S178" i="4"/>
  <c r="S179" i="4" s="1"/>
  <c r="S180" i="4" s="1"/>
  <c r="S111" i="4"/>
  <c r="S139" i="4"/>
  <c r="U385" i="4"/>
  <c r="U360" i="4"/>
  <c r="U9" i="4"/>
  <c r="U331" i="4"/>
  <c r="V1" i="4"/>
  <c r="U293" i="4"/>
  <c r="U84" i="4"/>
  <c r="U172" i="4"/>
  <c r="U49" i="4"/>
  <c r="U122" i="4"/>
  <c r="U402" i="4"/>
  <c r="U228" i="4"/>
  <c r="U257" i="4"/>
  <c r="S129" i="4" l="1"/>
  <c r="P38" i="19"/>
  <c r="S186" i="4"/>
  <c r="S185" i="4"/>
  <c r="S369" i="4"/>
  <c r="S372" i="4" s="1"/>
  <c r="S116" i="4" s="1"/>
  <c r="S345" i="4" a="1"/>
  <c r="S345" i="4" s="1"/>
  <c r="S355" i="4" s="1"/>
  <c r="S408" i="4" s="1"/>
  <c r="S344" i="4"/>
  <c r="S354" i="4" s="1"/>
  <c r="S184" i="4"/>
  <c r="T184" i="4" s="1"/>
  <c r="S115" i="4"/>
  <c r="S114" i="4"/>
  <c r="T28" i="4" s="1"/>
  <c r="S113" i="4"/>
  <c r="U218" i="4"/>
  <c r="T68" i="4"/>
  <c r="T15" i="4"/>
  <c r="T56" i="4"/>
  <c r="U24" i="4"/>
  <c r="T128" i="4"/>
  <c r="BD30" i="15"/>
  <c r="BD37" i="15" s="1"/>
  <c r="BD29" i="15"/>
  <c r="BD36" i="15" s="1"/>
  <c r="BD28" i="15"/>
  <c r="BD35" i="15" s="1"/>
  <c r="BD27" i="15"/>
  <c r="BD34" i="15" s="1"/>
  <c r="BD26" i="15"/>
  <c r="BD33" i="15" s="1"/>
  <c r="R112" i="4"/>
  <c r="Q31" i="4"/>
  <c r="R31" i="4" s="1"/>
  <c r="R355" i="4"/>
  <c r="Q142" i="4"/>
  <c r="R142" i="4" s="1"/>
  <c r="T141" i="4"/>
  <c r="T178" i="4"/>
  <c r="T179" i="4" s="1"/>
  <c r="T180" i="4" s="1"/>
  <c r="T205" i="4" s="1"/>
  <c r="T111" i="4"/>
  <c r="T23" i="4" s="1"/>
  <c r="T139" i="4"/>
  <c r="T33" i="4" s="1"/>
  <c r="S144" i="4"/>
  <c r="T30" i="4" s="1"/>
  <c r="S143" i="4"/>
  <c r="S391" i="4"/>
  <c r="S31" i="4" s="1"/>
  <c r="V390" i="4"/>
  <c r="S32" i="4"/>
  <c r="BE23" i="15"/>
  <c r="P117" i="4"/>
  <c r="O74" i="4"/>
  <c r="O38" i="4" s="1"/>
  <c r="U92" i="4"/>
  <c r="O213" i="4"/>
  <c r="S366" i="4"/>
  <c r="S104" i="4" s="1"/>
  <c r="S105" i="4" s="1"/>
  <c r="S106" i="4" s="1"/>
  <c r="T29" i="4"/>
  <c r="P410" i="4"/>
  <c r="S21" i="4"/>
  <c r="N38" i="4"/>
  <c r="O159" i="4"/>
  <c r="O39" i="4" s="1"/>
  <c r="S378" i="4"/>
  <c r="S145" i="4" s="1"/>
  <c r="T27" i="4"/>
  <c r="S192" i="4"/>
  <c r="Q22" i="4"/>
  <c r="R22" i="4" s="1"/>
  <c r="T75" i="4"/>
  <c r="S191" i="4"/>
  <c r="U251" i="4"/>
  <c r="T133" i="4"/>
  <c r="T135" i="4" s="1"/>
  <c r="T324" i="4"/>
  <c r="T203" i="4" s="1"/>
  <c r="T60" i="4" s="1"/>
  <c r="T363" i="4"/>
  <c r="T185" i="4"/>
  <c r="T160" i="4"/>
  <c r="U212" i="4"/>
  <c r="U75" i="4" s="1"/>
  <c r="V246" i="4"/>
  <c r="V87" i="4" s="1"/>
  <c r="V236" i="4"/>
  <c r="S30" i="4"/>
  <c r="R144" i="4"/>
  <c r="T370" i="4"/>
  <c r="W272" i="4"/>
  <c r="W276" i="4" s="1"/>
  <c r="V308" i="4"/>
  <c r="V312" i="4" s="1"/>
  <c r="V110" i="4" s="1"/>
  <c r="X271" i="4"/>
  <c r="X307" i="4" s="1"/>
  <c r="W307" i="4"/>
  <c r="T352" i="4" a="1"/>
  <c r="T352" i="4" s="1"/>
  <c r="T375" i="4"/>
  <c r="T378" i="4" s="1"/>
  <c r="T145" i="4" s="1"/>
  <c r="T351" i="4"/>
  <c r="U334" i="4"/>
  <c r="U363" i="4" s="1"/>
  <c r="U335" i="4"/>
  <c r="U336" i="4"/>
  <c r="U365" i="4" s="1"/>
  <c r="U288" i="4"/>
  <c r="U96" i="4"/>
  <c r="T388" i="4"/>
  <c r="R190" i="4"/>
  <c r="Q193" i="4"/>
  <c r="T371" i="4"/>
  <c r="U349" i="4"/>
  <c r="U376" i="4" s="1"/>
  <c r="U132" i="4"/>
  <c r="U348" i="4"/>
  <c r="U350" i="4"/>
  <c r="U377" i="4" s="1"/>
  <c r="P55" i="4"/>
  <c r="P195" i="4"/>
  <c r="V267" i="4"/>
  <c r="V299" i="4"/>
  <c r="V303" i="4" s="1"/>
  <c r="V97" i="4" s="1"/>
  <c r="V99" i="4" s="1"/>
  <c r="R378" i="4"/>
  <c r="Q145" i="4"/>
  <c r="Q21" i="4"/>
  <c r="R21" i="4" s="1"/>
  <c r="Q60" i="4"/>
  <c r="R60" i="4" s="1"/>
  <c r="C91" i="6" s="1"/>
  <c r="R203" i="4"/>
  <c r="C56" i="6" s="1"/>
  <c r="T102" i="4"/>
  <c r="T103" i="4"/>
  <c r="T101" i="4"/>
  <c r="T186" i="4"/>
  <c r="P414" i="4"/>
  <c r="P416" i="4" s="1"/>
  <c r="Q414" i="4"/>
  <c r="R408" i="4"/>
  <c r="Q104" i="4"/>
  <c r="Q380" i="4"/>
  <c r="R380" i="4" s="1"/>
  <c r="T113" i="4"/>
  <c r="T114" i="4"/>
  <c r="T364" i="4"/>
  <c r="U322" i="4"/>
  <c r="V276" i="4"/>
  <c r="T138" i="4"/>
  <c r="T137" i="4"/>
  <c r="T136" i="4"/>
  <c r="Q32" i="4"/>
  <c r="R32" i="4" s="1"/>
  <c r="R143" i="4"/>
  <c r="W283" i="4"/>
  <c r="V319" i="4"/>
  <c r="T337" i="4"/>
  <c r="T338" i="4" a="1"/>
  <c r="T338" i="4" s="1"/>
  <c r="U341" i="4"/>
  <c r="U343" i="4"/>
  <c r="U342" i="4"/>
  <c r="U370" i="4" s="1"/>
  <c r="U109" i="4"/>
  <c r="U115" i="4" s="1"/>
  <c r="Q37" i="4"/>
  <c r="R37" i="4" s="1"/>
  <c r="Q72" i="4"/>
  <c r="R72" i="4" s="1"/>
  <c r="C101" i="6" s="1"/>
  <c r="R187" i="4"/>
  <c r="C47" i="6" s="1"/>
  <c r="T345" i="4" a="1"/>
  <c r="T345" i="4" s="1"/>
  <c r="U369" i="4"/>
  <c r="T369" i="4"/>
  <c r="T344" i="4"/>
  <c r="W281" i="4"/>
  <c r="V317" i="4"/>
  <c r="V286" i="4"/>
  <c r="V250" i="4"/>
  <c r="V91" i="4" s="1"/>
  <c r="V207" i="4"/>
  <c r="Y279" i="4"/>
  <c r="S23" i="4"/>
  <c r="S112" i="4"/>
  <c r="W247" i="4"/>
  <c r="AA274" i="4"/>
  <c r="V89" i="4"/>
  <c r="S205" i="4"/>
  <c r="V57" i="4"/>
  <c r="V69" i="4"/>
  <c r="W219" i="4"/>
  <c r="X318" i="4"/>
  <c r="X311" i="4"/>
  <c r="X302" i="4"/>
  <c r="Y327" i="4"/>
  <c r="Y296" i="4" s="1"/>
  <c r="X301" i="4"/>
  <c r="X297" i="4"/>
  <c r="X321" i="4"/>
  <c r="X309" i="4"/>
  <c r="X315" i="4"/>
  <c r="X316" i="4"/>
  <c r="X320" i="4"/>
  <c r="X300" i="4"/>
  <c r="X298" i="4"/>
  <c r="X310" i="4"/>
  <c r="X306" i="4"/>
  <c r="W326" i="4"/>
  <c r="S33" i="4"/>
  <c r="X249" i="4"/>
  <c r="X90" i="4" s="1"/>
  <c r="Q180" i="4"/>
  <c r="S71" i="4" s="1"/>
  <c r="Q117" i="4"/>
  <c r="V88" i="4"/>
  <c r="AA270" i="4"/>
  <c r="W248" i="4"/>
  <c r="W89" i="4" s="1"/>
  <c r="V122" i="4"/>
  <c r="V385" i="4"/>
  <c r="V331" i="4"/>
  <c r="V172" i="4"/>
  <c r="V9" i="4"/>
  <c r="V257" i="4"/>
  <c r="W1" i="4"/>
  <c r="V360" i="4"/>
  <c r="V228" i="4"/>
  <c r="V84" i="4"/>
  <c r="V293" i="4"/>
  <c r="V402" i="4"/>
  <c r="V49" i="4"/>
  <c r="T129" i="4" l="1"/>
  <c r="Q38" i="19"/>
  <c r="S190" i="4"/>
  <c r="S193" i="4" s="1"/>
  <c r="S187" i="4"/>
  <c r="S72" i="4" s="1"/>
  <c r="U15" i="4"/>
  <c r="U68" i="4"/>
  <c r="V218" i="4"/>
  <c r="U56" i="4"/>
  <c r="U139" i="4"/>
  <c r="U33" i="4" s="1"/>
  <c r="BE30" i="15"/>
  <c r="BE37" i="15" s="1"/>
  <c r="BE29" i="15"/>
  <c r="BE36" i="15" s="1"/>
  <c r="BE28" i="15"/>
  <c r="BE35" i="15" s="1"/>
  <c r="BE27" i="15"/>
  <c r="BE34" i="15" s="1"/>
  <c r="BE26" i="15"/>
  <c r="BE33" i="15" s="1"/>
  <c r="O76" i="4"/>
  <c r="U29" i="4"/>
  <c r="S142" i="4"/>
  <c r="T112" i="4"/>
  <c r="T22" i="4" s="1"/>
  <c r="T14" i="4"/>
  <c r="T71" i="4"/>
  <c r="P118" i="4"/>
  <c r="R117" i="4"/>
  <c r="Q118" i="4"/>
  <c r="U111" i="4"/>
  <c r="U112" i="4" s="1"/>
  <c r="U141" i="4"/>
  <c r="U178" i="4"/>
  <c r="U179" i="4" s="1"/>
  <c r="U180" i="4" s="1"/>
  <c r="T144" i="4"/>
  <c r="U30" i="4" s="1"/>
  <c r="T143" i="4"/>
  <c r="T391" i="4"/>
  <c r="T31" i="4" s="1"/>
  <c r="W390" i="4"/>
  <c r="BF23" i="15"/>
  <c r="T192" i="4"/>
  <c r="O161" i="4"/>
  <c r="V251" i="4"/>
  <c r="V322" i="4"/>
  <c r="V133" i="4" s="1"/>
  <c r="V135" i="4" s="1"/>
  <c r="T21" i="4"/>
  <c r="U28" i="4"/>
  <c r="S380" i="4"/>
  <c r="T191" i="4"/>
  <c r="R414" i="4"/>
  <c r="U64" i="4"/>
  <c r="T372" i="4"/>
  <c r="T116" i="4" s="1"/>
  <c r="V348" i="4"/>
  <c r="V349" i="4"/>
  <c r="V376" i="4" s="1"/>
  <c r="V350" i="4"/>
  <c r="V377" i="4" s="1"/>
  <c r="V132" i="4"/>
  <c r="V341" i="4"/>
  <c r="V369" i="4" s="1"/>
  <c r="V343" i="4"/>
  <c r="V342" i="4"/>
  <c r="V370" i="4" s="1"/>
  <c r="V109" i="4"/>
  <c r="V115" i="4" s="1"/>
  <c r="S414" i="4"/>
  <c r="W267" i="4"/>
  <c r="W299" i="4"/>
  <c r="W303" i="4" s="1"/>
  <c r="W97" i="4" s="1"/>
  <c r="W99" i="4" s="1"/>
  <c r="U136" i="4"/>
  <c r="U137" i="4"/>
  <c r="U138" i="4"/>
  <c r="R193" i="4"/>
  <c r="Q55" i="4"/>
  <c r="R55" i="4" s="1"/>
  <c r="C86" i="6" s="1"/>
  <c r="U185" i="4"/>
  <c r="T355" i="4"/>
  <c r="T408" i="4" s="1"/>
  <c r="T414" i="4" s="1"/>
  <c r="X272" i="4"/>
  <c r="X276" i="4" s="1"/>
  <c r="W308" i="4"/>
  <c r="W312" i="4" s="1"/>
  <c r="W110" i="4" s="1"/>
  <c r="W246" i="4"/>
  <c r="W87" i="4" s="1"/>
  <c r="W236" i="4"/>
  <c r="T187" i="4"/>
  <c r="U344" i="4"/>
  <c r="U345" i="4" a="1"/>
  <c r="U345" i="4" s="1"/>
  <c r="U133" i="4"/>
  <c r="U135" i="4" s="1"/>
  <c r="U324" i="4"/>
  <c r="U203" i="4" s="1"/>
  <c r="U60" i="4" s="1"/>
  <c r="U27" i="4"/>
  <c r="U103" i="4"/>
  <c r="U102" i="4"/>
  <c r="U101" i="4"/>
  <c r="U338" i="4" a="1"/>
  <c r="U338" i="4" s="1"/>
  <c r="U184" i="4"/>
  <c r="U337" i="4"/>
  <c r="T32" i="4"/>
  <c r="Y271" i="4"/>
  <c r="Y307" i="4" s="1"/>
  <c r="S37" i="4"/>
  <c r="V212" i="4"/>
  <c r="V64" i="4" s="1"/>
  <c r="U160" i="4"/>
  <c r="T366" i="4"/>
  <c r="W250" i="4"/>
  <c r="W91" i="4" s="1"/>
  <c r="X281" i="4"/>
  <c r="W317" i="4"/>
  <c r="W286" i="4"/>
  <c r="U114" i="4"/>
  <c r="U113" i="4"/>
  <c r="P211" i="4"/>
  <c r="P206" i="4"/>
  <c r="U388" i="4"/>
  <c r="T354" i="4"/>
  <c r="W343" i="4"/>
  <c r="W341" i="4"/>
  <c r="W342" i="4"/>
  <c r="W109" i="4"/>
  <c r="W115" i="4" s="1"/>
  <c r="Q195" i="4"/>
  <c r="R195" i="4" s="1"/>
  <c r="X283" i="4"/>
  <c r="W319" i="4"/>
  <c r="R104" i="4"/>
  <c r="Q105" i="4"/>
  <c r="R145" i="4"/>
  <c r="V288" i="4"/>
  <c r="V335" i="4"/>
  <c r="V364" i="4" s="1"/>
  <c r="V334" i="4"/>
  <c r="V96" i="4"/>
  <c r="V336" i="4"/>
  <c r="V365" i="4" s="1"/>
  <c r="U352" i="4" a="1"/>
  <c r="U352" i="4" s="1"/>
  <c r="U375" i="4"/>
  <c r="U378" i="4" s="1"/>
  <c r="U145" i="4" s="1"/>
  <c r="U351" i="4"/>
  <c r="U371" i="4"/>
  <c r="U372" i="4" s="1"/>
  <c r="U116" i="4" s="1"/>
  <c r="U186" i="4"/>
  <c r="U364" i="4"/>
  <c r="U366" i="4" s="1"/>
  <c r="W207" i="4"/>
  <c r="Z279" i="4"/>
  <c r="X248" i="4"/>
  <c r="X89" i="4" s="1"/>
  <c r="AB270" i="4"/>
  <c r="Y321" i="4"/>
  <c r="Y302" i="4"/>
  <c r="Y311" i="4"/>
  <c r="Z327" i="4"/>
  <c r="Z296" i="4" s="1"/>
  <c r="Y301" i="4"/>
  <c r="Y297" i="4"/>
  <c r="Y318" i="4"/>
  <c r="Y309" i="4"/>
  <c r="Y315" i="4"/>
  <c r="Y320" i="4"/>
  <c r="Y316" i="4"/>
  <c r="Y310" i="4"/>
  <c r="Y306" i="4"/>
  <c r="Y298" i="4"/>
  <c r="Y300" i="4"/>
  <c r="AB274" i="4"/>
  <c r="S22" i="4"/>
  <c r="Q71" i="4"/>
  <c r="R180" i="4"/>
  <c r="C44" i="6" s="1"/>
  <c r="Q205" i="4"/>
  <c r="Q14" i="4"/>
  <c r="S14" i="4"/>
  <c r="X326" i="4"/>
  <c r="W57" i="4"/>
  <c r="X219" i="4"/>
  <c r="W69" i="4"/>
  <c r="T407" i="4"/>
  <c r="S158" i="4"/>
  <c r="S117" i="4"/>
  <c r="S118" i="4" s="1"/>
  <c r="T158" i="4"/>
  <c r="T73" i="4"/>
  <c r="T62" i="4"/>
  <c r="T413" i="4"/>
  <c r="Y249" i="4"/>
  <c r="X247" i="4"/>
  <c r="V92" i="4"/>
  <c r="W88" i="4"/>
  <c r="W172" i="4"/>
  <c r="W402" i="4"/>
  <c r="W84" i="4"/>
  <c r="W257" i="4"/>
  <c r="W331" i="4"/>
  <c r="W122" i="4"/>
  <c r="W9" i="4"/>
  <c r="W385" i="4"/>
  <c r="W293" i="4"/>
  <c r="X1" i="4"/>
  <c r="W49" i="4"/>
  <c r="W360" i="4"/>
  <c r="W228" i="4"/>
  <c r="S195" i="4" l="1"/>
  <c r="T190" i="4"/>
  <c r="T193" i="4" s="1"/>
  <c r="T55" i="4" s="1"/>
  <c r="V68" i="4"/>
  <c r="V56" i="4"/>
  <c r="V15" i="4"/>
  <c r="W218" i="4"/>
  <c r="W24" i="4"/>
  <c r="V128" i="4"/>
  <c r="U128" i="4"/>
  <c r="R38" i="19" s="1"/>
  <c r="V24" i="4"/>
  <c r="BF30" i="15"/>
  <c r="BF37" i="15" s="1"/>
  <c r="BF29" i="15"/>
  <c r="BF36" i="15" s="1"/>
  <c r="BF28" i="15"/>
  <c r="BF35" i="15" s="1"/>
  <c r="BF27" i="15"/>
  <c r="BF34" i="15" s="1"/>
  <c r="BF26" i="15"/>
  <c r="BF33" i="15" s="1"/>
  <c r="U23" i="4"/>
  <c r="G15" i="15"/>
  <c r="G14" i="15"/>
  <c r="T117" i="4"/>
  <c r="T118" i="4" s="1"/>
  <c r="T142" i="4"/>
  <c r="R105" i="4"/>
  <c r="Q106" i="4"/>
  <c r="C21" i="6"/>
  <c r="R118" i="4"/>
  <c r="G11" i="15"/>
  <c r="U144" i="4"/>
  <c r="V30" i="4" s="1"/>
  <c r="U143" i="4"/>
  <c r="U391" i="4"/>
  <c r="U31" i="4" s="1"/>
  <c r="T410" i="4"/>
  <c r="X390" i="4"/>
  <c r="BG23" i="15"/>
  <c r="W370" i="4"/>
  <c r="W92" i="4"/>
  <c r="W251" i="4"/>
  <c r="U354" i="4"/>
  <c r="V324" i="4"/>
  <c r="V203" i="4" s="1"/>
  <c r="V60" i="4" s="1"/>
  <c r="W369" i="4"/>
  <c r="W322" i="4"/>
  <c r="W133" i="4" s="1"/>
  <c r="W135" i="4" s="1"/>
  <c r="V28" i="4"/>
  <c r="W371" i="4"/>
  <c r="U355" i="4"/>
  <c r="U408" i="4" s="1"/>
  <c r="U414" i="4" s="1"/>
  <c r="V371" i="4"/>
  <c r="V372" i="4" s="1"/>
  <c r="V116" i="4" s="1"/>
  <c r="V29" i="4"/>
  <c r="U21" i="4"/>
  <c r="U22" i="4"/>
  <c r="V75" i="4"/>
  <c r="U192" i="4"/>
  <c r="X342" i="4"/>
  <c r="X370" i="4" s="1"/>
  <c r="X343" i="4"/>
  <c r="X371" i="4" s="1"/>
  <c r="X341" i="4"/>
  <c r="X369" i="4" s="1"/>
  <c r="X109" i="4"/>
  <c r="X115" i="4" s="1"/>
  <c r="U104" i="4"/>
  <c r="U105" i="4" s="1"/>
  <c r="U106" i="4" s="1"/>
  <c r="U380" i="4"/>
  <c r="V186" i="4"/>
  <c r="V388" i="4"/>
  <c r="W114" i="4"/>
  <c r="W113" i="4"/>
  <c r="P213" i="4"/>
  <c r="P159" i="4"/>
  <c r="Q211" i="4"/>
  <c r="X250" i="4"/>
  <c r="X91" i="4" s="1"/>
  <c r="T104" i="4"/>
  <c r="T105" i="4" s="1"/>
  <c r="T106" i="4" s="1"/>
  <c r="T380" i="4"/>
  <c r="U187" i="4"/>
  <c r="C48" i="6"/>
  <c r="C49" i="6" s="1"/>
  <c r="S55" i="4"/>
  <c r="V345" i="4" a="1"/>
  <c r="V345" i="4" s="1"/>
  <c r="V344" i="4"/>
  <c r="V101" i="4"/>
  <c r="V102" i="4"/>
  <c r="V103" i="4"/>
  <c r="Y283" i="4"/>
  <c r="X319" i="4"/>
  <c r="U142" i="4"/>
  <c r="W349" i="4"/>
  <c r="W376" i="4" s="1"/>
  <c r="W348" i="4"/>
  <c r="W132" i="4"/>
  <c r="W350" i="4"/>
  <c r="W377" i="4" s="1"/>
  <c r="U191" i="4"/>
  <c r="T72" i="4"/>
  <c r="T37" i="4"/>
  <c r="X236" i="4"/>
  <c r="X246" i="4"/>
  <c r="W334" i="4"/>
  <c r="W363" i="4" s="1"/>
  <c r="W335" i="4"/>
  <c r="W364" i="4" s="1"/>
  <c r="W336" i="4"/>
  <c r="W365" i="4" s="1"/>
  <c r="W96" i="4"/>
  <c r="W288" i="4"/>
  <c r="V113" i="4"/>
  <c r="V114" i="4"/>
  <c r="T416" i="4"/>
  <c r="V337" i="4"/>
  <c r="V338" i="4" a="1"/>
  <c r="V338" i="4" s="1"/>
  <c r="V184" i="4"/>
  <c r="W344" i="4"/>
  <c r="W345" i="4" a="1"/>
  <c r="W345" i="4" s="1"/>
  <c r="V363" i="4"/>
  <c r="W212" i="4"/>
  <c r="W75" i="4" s="1"/>
  <c r="V160" i="4"/>
  <c r="Z271" i="4"/>
  <c r="V27" i="4"/>
  <c r="X267" i="4"/>
  <c r="X299" i="4"/>
  <c r="X303" i="4" s="1"/>
  <c r="X97" i="4" s="1"/>
  <c r="X99" i="4" s="1"/>
  <c r="V375" i="4"/>
  <c r="V378" i="4" s="1"/>
  <c r="V145" i="4" s="1"/>
  <c r="V352" i="4" a="1"/>
  <c r="V352" i="4" s="1"/>
  <c r="V351" i="4"/>
  <c r="V185" i="4"/>
  <c r="P74" i="4"/>
  <c r="P63" i="4"/>
  <c r="P16" i="4" s="1"/>
  <c r="P18" i="4" s="1"/>
  <c r="Q206" i="4"/>
  <c r="Y281" i="4"/>
  <c r="X286" i="4"/>
  <c r="X317" i="4"/>
  <c r="Y272" i="4"/>
  <c r="X308" i="4"/>
  <c r="X312" i="4" s="1"/>
  <c r="X110" i="4" s="1"/>
  <c r="V136" i="4"/>
  <c r="V137" i="4"/>
  <c r="V138" i="4"/>
  <c r="X207" i="4"/>
  <c r="AA279" i="4"/>
  <c r="V178" i="4"/>
  <c r="V179" i="4" s="1"/>
  <c r="V180" i="4" s="1"/>
  <c r="V139" i="4"/>
  <c r="V141" i="4"/>
  <c r="V111" i="4"/>
  <c r="Y326" i="4"/>
  <c r="U71" i="4"/>
  <c r="U205" i="4"/>
  <c r="U14" i="4"/>
  <c r="Y248" i="4"/>
  <c r="Y90" i="4"/>
  <c r="U117" i="4"/>
  <c r="U118" i="4" s="1"/>
  <c r="R71" i="4"/>
  <c r="C100" i="6" s="1"/>
  <c r="Y247" i="4"/>
  <c r="Z249" i="4"/>
  <c r="Z90" i="4" s="1"/>
  <c r="R14" i="4"/>
  <c r="AC274" i="4"/>
  <c r="AC270" i="4"/>
  <c r="X88" i="4"/>
  <c r="Y219" i="4"/>
  <c r="X69" i="4"/>
  <c r="X57" i="4"/>
  <c r="R205" i="4"/>
  <c r="Q73" i="4"/>
  <c r="Q407" i="4"/>
  <c r="Q62" i="4"/>
  <c r="Q413" i="4"/>
  <c r="Q158" i="4"/>
  <c r="AA327" i="4"/>
  <c r="Z301" i="4"/>
  <c r="Z297" i="4"/>
  <c r="Z321" i="4"/>
  <c r="Z318" i="4"/>
  <c r="Z311" i="4"/>
  <c r="Z302" i="4"/>
  <c r="Z309" i="4"/>
  <c r="Z315" i="4"/>
  <c r="Z320" i="4"/>
  <c r="Z316" i="4"/>
  <c r="Z310" i="4"/>
  <c r="Z298" i="4"/>
  <c r="Z300" i="4"/>
  <c r="Z306" i="4"/>
  <c r="X257" i="4"/>
  <c r="X228" i="4"/>
  <c r="X385" i="4"/>
  <c r="X122" i="4"/>
  <c r="X49" i="4"/>
  <c r="X360" i="4"/>
  <c r="X84" i="4"/>
  <c r="X402" i="4"/>
  <c r="X331" i="4"/>
  <c r="X9" i="4"/>
  <c r="X293" i="4"/>
  <c r="X172" i="4"/>
  <c r="Y1" i="4"/>
  <c r="V129" i="4" l="1"/>
  <c r="S38" i="19"/>
  <c r="U190" i="4"/>
  <c r="V190" i="4" s="1"/>
  <c r="W15" i="4"/>
  <c r="X218" i="4"/>
  <c r="W56" i="4"/>
  <c r="W68" i="4"/>
  <c r="X24" i="4"/>
  <c r="W128" i="4"/>
  <c r="U129" i="4"/>
  <c r="BG30" i="15"/>
  <c r="BG29" i="15"/>
  <c r="BG28" i="15"/>
  <c r="BG27" i="15"/>
  <c r="BG26" i="15"/>
  <c r="AG231" i="4"/>
  <c r="AG235" i="4"/>
  <c r="H28" i="3" s="1"/>
  <c r="AG234" i="4"/>
  <c r="H27" i="3" s="1"/>
  <c r="V21" i="4"/>
  <c r="C20" i="6"/>
  <c r="R106" i="4"/>
  <c r="G23" i="15"/>
  <c r="W178" i="4"/>
  <c r="W179" i="4" s="1"/>
  <c r="W180" i="4" s="1"/>
  <c r="W205" i="4" s="1"/>
  <c r="W141" i="4"/>
  <c r="W111" i="4"/>
  <c r="W23" i="4" s="1"/>
  <c r="W139" i="4"/>
  <c r="W33" i="4" s="1"/>
  <c r="V144" i="4"/>
  <c r="W30" i="4" s="1"/>
  <c r="V143" i="4"/>
  <c r="V391" i="4"/>
  <c r="V142" i="4" s="1"/>
  <c r="Y390" i="4"/>
  <c r="BH23" i="15"/>
  <c r="X251" i="4"/>
  <c r="W324" i="4"/>
  <c r="W203" i="4" s="1"/>
  <c r="W60" i="4" s="1"/>
  <c r="W29" i="4"/>
  <c r="W372" i="4"/>
  <c r="W116" i="4" s="1"/>
  <c r="T195" i="4"/>
  <c r="V192" i="4"/>
  <c r="W192" i="4" s="1"/>
  <c r="V354" i="4"/>
  <c r="U193" i="4"/>
  <c r="U55" i="4" s="1"/>
  <c r="X372" i="4"/>
  <c r="X116" i="4" s="1"/>
  <c r="W64" i="4"/>
  <c r="W366" i="4"/>
  <c r="Z281" i="4"/>
  <c r="Y286" i="4"/>
  <c r="Y317" i="4"/>
  <c r="X335" i="4"/>
  <c r="X364" i="4" s="1"/>
  <c r="X96" i="4"/>
  <c r="X336" i="4"/>
  <c r="X365" i="4" s="1"/>
  <c r="X288" i="4"/>
  <c r="X334" i="4"/>
  <c r="X363" i="4" s="1"/>
  <c r="X212" i="4"/>
  <c r="X75" i="4" s="1"/>
  <c r="W160" i="4"/>
  <c r="W101" i="4"/>
  <c r="W102" i="4"/>
  <c r="W103" i="4"/>
  <c r="X87" i="4"/>
  <c r="W352" i="4" a="1"/>
  <c r="W352" i="4" s="1"/>
  <c r="W375" i="4"/>
  <c r="W378" i="4" s="1"/>
  <c r="W145" i="4" s="1"/>
  <c r="W351" i="4"/>
  <c r="U37" i="4"/>
  <c r="U72" i="4"/>
  <c r="X113" i="4"/>
  <c r="X114" i="4"/>
  <c r="Z272" i="4"/>
  <c r="Z276" i="4" s="1"/>
  <c r="Y308" i="4"/>
  <c r="Y312" i="4" s="1"/>
  <c r="Y110" i="4" s="1"/>
  <c r="R206" i="4"/>
  <c r="Q63" i="4"/>
  <c r="R63" i="4" s="1"/>
  <c r="C94" i="6" s="1"/>
  <c r="Q74" i="4"/>
  <c r="R74" i="4" s="1"/>
  <c r="C103" i="6" s="1"/>
  <c r="Y267" i="4"/>
  <c r="Y299" i="4"/>
  <c r="Y303" i="4" s="1"/>
  <c r="Y97" i="4" s="1"/>
  <c r="Y99" i="4" s="1"/>
  <c r="AA271" i="4"/>
  <c r="AA307" i="4" s="1"/>
  <c r="Z307" i="4"/>
  <c r="V366" i="4"/>
  <c r="V187" i="4"/>
  <c r="W186" i="4"/>
  <c r="W27" i="4"/>
  <c r="Q213" i="4"/>
  <c r="R213" i="4" s="1"/>
  <c r="Q159" i="4"/>
  <c r="R159" i="4" s="1"/>
  <c r="R211" i="4"/>
  <c r="V191" i="4"/>
  <c r="W191" i="4" s="1"/>
  <c r="X344" i="4"/>
  <c r="X345" i="4" a="1"/>
  <c r="X345" i="4" s="1"/>
  <c r="W28" i="4"/>
  <c r="X322" i="4"/>
  <c r="Y276" i="4"/>
  <c r="V355" i="4"/>
  <c r="V408" i="4" s="1"/>
  <c r="W185" i="4"/>
  <c r="Y246" i="4"/>
  <c r="Y87" i="4" s="1"/>
  <c r="Y236" i="4"/>
  <c r="Z283" i="4"/>
  <c r="Y319" i="4"/>
  <c r="P161" i="4"/>
  <c r="P39" i="4"/>
  <c r="X348" i="4"/>
  <c r="X350" i="4"/>
  <c r="X377" i="4" s="1"/>
  <c r="X349" i="4"/>
  <c r="X132" i="4"/>
  <c r="P38" i="4"/>
  <c r="P76" i="4"/>
  <c r="U32" i="4"/>
  <c r="W388" i="4"/>
  <c r="W391" i="4" s="1"/>
  <c r="W184" i="4"/>
  <c r="W337" i="4"/>
  <c r="W338" i="4" a="1"/>
  <c r="W338" i="4" s="1"/>
  <c r="W136" i="4"/>
  <c r="W138" i="4"/>
  <c r="W137" i="4"/>
  <c r="Y250" i="4"/>
  <c r="Y91" i="4" s="1"/>
  <c r="AA296" i="4"/>
  <c r="V14" i="4"/>
  <c r="Y207" i="4"/>
  <c r="AB279" i="4"/>
  <c r="R158" i="4"/>
  <c r="R73" i="4"/>
  <c r="C102" i="6" s="1"/>
  <c r="Z248" i="4"/>
  <c r="Z89" i="4" s="1"/>
  <c r="Q416" i="4"/>
  <c r="R413" i="4"/>
  <c r="R416" i="4" s="1"/>
  <c r="C58" i="6"/>
  <c r="S73" i="4"/>
  <c r="S413" i="4"/>
  <c r="S407" i="4"/>
  <c r="S62" i="4"/>
  <c r="U73" i="4"/>
  <c r="U158" i="4"/>
  <c r="U413" i="4"/>
  <c r="U416" i="4" s="1"/>
  <c r="U62" i="4"/>
  <c r="U407" i="4"/>
  <c r="U410" i="4" s="1"/>
  <c r="Z326" i="4"/>
  <c r="V33" i="4"/>
  <c r="AB327" i="4"/>
  <c r="AB296" i="4" s="1"/>
  <c r="AA318" i="4"/>
  <c r="AA311" i="4"/>
  <c r="AA302" i="4"/>
  <c r="AA321" i="4"/>
  <c r="AA297" i="4"/>
  <c r="AA301" i="4"/>
  <c r="AA309" i="4"/>
  <c r="AA315" i="4"/>
  <c r="AA320" i="4"/>
  <c r="AA316" i="4"/>
  <c r="AA298" i="4"/>
  <c r="AA306" i="4"/>
  <c r="AA310" i="4"/>
  <c r="AA300" i="4"/>
  <c r="R62" i="4"/>
  <c r="C93" i="6" s="1"/>
  <c r="Y69" i="4"/>
  <c r="Z219" i="4"/>
  <c r="Y57" i="4"/>
  <c r="AD274" i="4"/>
  <c r="AA249" i="4"/>
  <c r="AA90" i="4" s="1"/>
  <c r="Z247" i="4"/>
  <c r="Q410" i="4"/>
  <c r="R407" i="4"/>
  <c r="R410" i="4" s="1"/>
  <c r="AD270" i="4"/>
  <c r="Y88" i="4"/>
  <c r="Y89" i="4"/>
  <c r="V23" i="4"/>
  <c r="V112" i="4"/>
  <c r="V71" i="4"/>
  <c r="V205" i="4"/>
  <c r="Y84" i="4"/>
  <c r="Y402" i="4"/>
  <c r="Y360" i="4"/>
  <c r="Y49" i="4"/>
  <c r="Y257" i="4"/>
  <c r="Y9" i="4"/>
  <c r="Y385" i="4"/>
  <c r="Z1" i="4"/>
  <c r="Y331" i="4"/>
  <c r="Y293" i="4"/>
  <c r="Y122" i="4"/>
  <c r="Y228" i="4"/>
  <c r="Y172" i="4"/>
  <c r="BG33" i="15" l="1"/>
  <c r="G33" i="15" s="1"/>
  <c r="G26" i="15"/>
  <c r="BG37" i="15"/>
  <c r="G37" i="15" s="1"/>
  <c r="G30" i="15"/>
  <c r="BG36" i="15"/>
  <c r="G36" i="15" s="1"/>
  <c r="G29" i="15"/>
  <c r="BG34" i="15"/>
  <c r="G34" i="15" s="1"/>
  <c r="G27" i="15"/>
  <c r="BG35" i="15"/>
  <c r="G35" i="15" s="1"/>
  <c r="G28" i="15"/>
  <c r="W129" i="4"/>
  <c r="T38" i="19"/>
  <c r="X56" i="4"/>
  <c r="Y218" i="4"/>
  <c r="X15" i="4"/>
  <c r="X68" i="4"/>
  <c r="BH30" i="15"/>
  <c r="BH29" i="15"/>
  <c r="BH28" i="15"/>
  <c r="BH27" i="15"/>
  <c r="BH26" i="15"/>
  <c r="G24" i="15"/>
  <c r="G8" i="19"/>
  <c r="AK43" i="19" s="1"/>
  <c r="AK44" i="19" s="1"/>
  <c r="V31" i="4"/>
  <c r="W21" i="4"/>
  <c r="H24" i="3"/>
  <c r="AG236" i="4"/>
  <c r="W14" i="4"/>
  <c r="W71" i="4"/>
  <c r="W112" i="4"/>
  <c r="W117" i="4" s="1"/>
  <c r="W118" i="4" s="1"/>
  <c r="W144" i="4"/>
  <c r="X30" i="4" s="1"/>
  <c r="W143" i="4"/>
  <c r="W31" i="4"/>
  <c r="Z390" i="4"/>
  <c r="BI23" i="15"/>
  <c r="W354" i="4"/>
  <c r="U195" i="4"/>
  <c r="X64" i="4"/>
  <c r="Y322" i="4"/>
  <c r="Q38" i="4"/>
  <c r="R38" i="4" s="1"/>
  <c r="X29" i="4"/>
  <c r="C27" i="6"/>
  <c r="W187" i="4"/>
  <c r="W72" i="4" s="1"/>
  <c r="Q39" i="4"/>
  <c r="R39" i="4" s="1"/>
  <c r="Q16" i="4"/>
  <c r="R16" i="4" s="1"/>
  <c r="Q161" i="4"/>
  <c r="Q76" i="4"/>
  <c r="R76" i="4" s="1"/>
  <c r="C105" i="6"/>
  <c r="X192" i="4"/>
  <c r="V32" i="4"/>
  <c r="X366" i="4"/>
  <c r="X27" i="4"/>
  <c r="X388" i="4"/>
  <c r="X352" i="4" a="1"/>
  <c r="X352" i="4" s="1"/>
  <c r="X351" i="4"/>
  <c r="X375" i="4"/>
  <c r="V414" i="4"/>
  <c r="V37" i="4"/>
  <c r="V72" i="4"/>
  <c r="Y96" i="4"/>
  <c r="Y288" i="4"/>
  <c r="Y335" i="4"/>
  <c r="Y364" i="4" s="1"/>
  <c r="Y334" i="4"/>
  <c r="Y363" i="4" s="1"/>
  <c r="Y336" i="4"/>
  <c r="Y365" i="4" s="1"/>
  <c r="C59" i="6"/>
  <c r="S206" i="4"/>
  <c r="X186" i="4"/>
  <c r="X92" i="4"/>
  <c r="Y251" i="4"/>
  <c r="Z250" i="4"/>
  <c r="Z91" i="4" s="1"/>
  <c r="X136" i="4"/>
  <c r="X138" i="4"/>
  <c r="X137" i="4"/>
  <c r="Z246" i="4"/>
  <c r="Z87" i="4" s="1"/>
  <c r="Z236" i="4"/>
  <c r="Y109" i="4"/>
  <c r="Y115" i="4" s="1"/>
  <c r="Y342" i="4"/>
  <c r="Y370" i="4" s="1"/>
  <c r="Y341" i="4"/>
  <c r="Y343" i="4"/>
  <c r="Y371" i="4" s="1"/>
  <c r="V193" i="4"/>
  <c r="V55" i="4" s="1"/>
  <c r="AB271" i="4"/>
  <c r="Z267" i="4"/>
  <c r="Z299" i="4"/>
  <c r="Z303" i="4" s="1"/>
  <c r="Z97" i="4" s="1"/>
  <c r="Z99" i="4" s="1"/>
  <c r="X160" i="4"/>
  <c r="Y212" i="4"/>
  <c r="Y75" i="4" s="1"/>
  <c r="X102" i="4"/>
  <c r="X103" i="4"/>
  <c r="X101" i="4"/>
  <c r="Y350" i="4"/>
  <c r="Y377" i="4" s="1"/>
  <c r="Y132" i="4"/>
  <c r="Y349" i="4"/>
  <c r="Y376" i="4" s="1"/>
  <c r="Y348" i="4"/>
  <c r="W190" i="4"/>
  <c r="W193" i="4" s="1"/>
  <c r="W32" i="4"/>
  <c r="X376" i="4"/>
  <c r="X191" i="4" s="1"/>
  <c r="AA283" i="4"/>
  <c r="Z319" i="4"/>
  <c r="X133" i="4"/>
  <c r="X135" i="4" s="1"/>
  <c r="X324" i="4"/>
  <c r="X203" i="4" s="1"/>
  <c r="X60" i="4" s="1"/>
  <c r="S211" i="4"/>
  <c r="C64" i="6"/>
  <c r="C66" i="6" s="1"/>
  <c r="V104" i="4"/>
  <c r="V105" i="4" s="1"/>
  <c r="V106" i="4" s="1"/>
  <c r="V380" i="4"/>
  <c r="Z341" i="4"/>
  <c r="Z109" i="4"/>
  <c r="Z115" i="4" s="1"/>
  <c r="Z343" i="4"/>
  <c r="Z342" i="4"/>
  <c r="AA272" i="4"/>
  <c r="AA276" i="4" s="1"/>
  <c r="Z308" i="4"/>
  <c r="Z312" i="4" s="1"/>
  <c r="Z110" i="4" s="1"/>
  <c r="W355" i="4"/>
  <c r="W408" i="4" s="1"/>
  <c r="W414" i="4" s="1"/>
  <c r="X28" i="4"/>
  <c r="X337" i="4"/>
  <c r="X184" i="4"/>
  <c r="X338" i="4" a="1"/>
  <c r="X338" i="4" s="1"/>
  <c r="X185" i="4"/>
  <c r="AA281" i="4"/>
  <c r="Z286" i="4"/>
  <c r="Z317" i="4"/>
  <c r="W104" i="4"/>
  <c r="W105" i="4" s="1"/>
  <c r="W106" i="4" s="1"/>
  <c r="W380" i="4"/>
  <c r="Z207" i="4"/>
  <c r="AC279" i="4"/>
  <c r="V73" i="4"/>
  <c r="V62" i="4"/>
  <c r="V158" i="4"/>
  <c r="V407" i="4"/>
  <c r="V410" i="4" s="1"/>
  <c r="V413" i="4"/>
  <c r="AA247" i="4"/>
  <c r="AE274" i="4"/>
  <c r="AF274" i="4" s="1"/>
  <c r="AC327" i="4"/>
  <c r="AC296" i="4" s="1"/>
  <c r="AB301" i="4"/>
  <c r="AB311" i="4"/>
  <c r="AB297" i="4"/>
  <c r="AB321" i="4"/>
  <c r="AB318" i="4"/>
  <c r="AB302" i="4"/>
  <c r="AB309" i="4"/>
  <c r="AB315" i="4"/>
  <c r="AB320" i="4"/>
  <c r="AB316" i="4"/>
  <c r="AB300" i="4"/>
  <c r="AB310" i="4"/>
  <c r="AB306" i="4"/>
  <c r="AB298" i="4"/>
  <c r="AA326" i="4"/>
  <c r="S410" i="4"/>
  <c r="Y92" i="4"/>
  <c r="AE270" i="4"/>
  <c r="AF270" i="4" s="1"/>
  <c r="S416" i="4"/>
  <c r="AB249" i="4"/>
  <c r="AB90" i="4" s="1"/>
  <c r="AA248" i="4"/>
  <c r="AA89" i="4" s="1"/>
  <c r="AE264" i="4"/>
  <c r="V22" i="4"/>
  <c r="V117" i="4"/>
  <c r="V118" i="4" s="1"/>
  <c r="Z88" i="4"/>
  <c r="Z69" i="4"/>
  <c r="AA219" i="4"/>
  <c r="Z57" i="4"/>
  <c r="W62" i="4"/>
  <c r="W407" i="4"/>
  <c r="W73" i="4"/>
  <c r="W158" i="4"/>
  <c r="W413" i="4"/>
  <c r="AE262" i="4"/>
  <c r="Z385" i="4"/>
  <c r="Z228" i="4"/>
  <c r="AA1" i="4"/>
  <c r="Z9" i="4"/>
  <c r="Z402" i="4"/>
  <c r="Z293" i="4"/>
  <c r="Z331" i="4"/>
  <c r="Z172" i="4"/>
  <c r="Z360" i="4"/>
  <c r="Z84" i="4"/>
  <c r="Z122" i="4"/>
  <c r="Z257" i="4"/>
  <c r="Z49" i="4"/>
  <c r="BH35" i="15" l="1"/>
  <c r="BH34" i="15"/>
  <c r="BH36" i="15"/>
  <c r="BH33" i="15"/>
  <c r="BH37" i="15"/>
  <c r="AK45" i="19"/>
  <c r="Z218" i="4"/>
  <c r="Y15" i="4"/>
  <c r="Y68" i="4"/>
  <c r="Y56" i="4"/>
  <c r="Y128" i="4"/>
  <c r="Z24" i="4"/>
  <c r="Y24" i="4"/>
  <c r="X128" i="4"/>
  <c r="BI30" i="15"/>
  <c r="BI37" i="15" s="1"/>
  <c r="BI29" i="15"/>
  <c r="BI36" i="15" s="1"/>
  <c r="BI28" i="15"/>
  <c r="BI35" i="15" s="1"/>
  <c r="BI27" i="15"/>
  <c r="BI34" i="15" s="1"/>
  <c r="BI26" i="15"/>
  <c r="BI33" i="15" s="1"/>
  <c r="W22" i="4"/>
  <c r="W142" i="4"/>
  <c r="X144" i="4"/>
  <c r="Y30" i="4" s="1"/>
  <c r="X143" i="4"/>
  <c r="X391" i="4"/>
  <c r="X31" i="4" s="1"/>
  <c r="AA390" i="4"/>
  <c r="BJ23" i="15"/>
  <c r="Z371" i="4"/>
  <c r="Z92" i="4"/>
  <c r="Z322" i="4"/>
  <c r="Z133" i="4" s="1"/>
  <c r="Z135" i="4" s="1"/>
  <c r="X21" i="4"/>
  <c r="Z251" i="4"/>
  <c r="W410" i="4"/>
  <c r="Z370" i="4"/>
  <c r="Y133" i="4"/>
  <c r="Y135" i="4" s="1"/>
  <c r="Y324" i="4"/>
  <c r="Y203" i="4" s="1"/>
  <c r="Y60" i="4" s="1"/>
  <c r="X355" i="4"/>
  <c r="X408" i="4" s="1"/>
  <c r="X414" i="4" s="1"/>
  <c r="Y28" i="4"/>
  <c r="Q18" i="4"/>
  <c r="R18" i="4" s="1"/>
  <c r="R161" i="4"/>
  <c r="W37" i="4"/>
  <c r="Z324" i="4"/>
  <c r="Z203" i="4" s="1"/>
  <c r="X354" i="4"/>
  <c r="Y64" i="4"/>
  <c r="W55" i="4"/>
  <c r="V416" i="4"/>
  <c r="Y192" i="4"/>
  <c r="V195" i="4"/>
  <c r="X378" i="4"/>
  <c r="X145" i="4" s="1"/>
  <c r="Y191" i="4"/>
  <c r="AA342" i="4"/>
  <c r="AA370" i="4" s="1"/>
  <c r="AA109" i="4"/>
  <c r="AA115" i="4" s="1"/>
  <c r="AA341" i="4"/>
  <c r="AA343" i="4"/>
  <c r="AA371" i="4" s="1"/>
  <c r="W416" i="4"/>
  <c r="X187" i="4"/>
  <c r="Z114" i="4"/>
  <c r="Z113" i="4"/>
  <c r="Y136" i="4"/>
  <c r="Y137" i="4"/>
  <c r="Y138" i="4"/>
  <c r="Z336" i="4"/>
  <c r="Z365" i="4" s="1"/>
  <c r="Z335" i="4"/>
  <c r="Z364" i="4" s="1"/>
  <c r="Z288" i="4"/>
  <c r="Z96" i="4"/>
  <c r="Z334" i="4"/>
  <c r="Z363" i="4" s="1"/>
  <c r="AA246" i="4"/>
  <c r="AA87" i="4" s="1"/>
  <c r="AA236" i="4"/>
  <c r="AA250" i="4"/>
  <c r="AA91" i="4" s="1"/>
  <c r="Y388" i="4"/>
  <c r="AB272" i="4"/>
  <c r="AB276" i="4" s="1"/>
  <c r="AA308" i="4"/>
  <c r="AA312" i="4" s="1"/>
  <c r="AA110" i="4" s="1"/>
  <c r="Z344" i="4"/>
  <c r="Z345" i="4" a="1"/>
  <c r="Z345" i="4" s="1"/>
  <c r="T211" i="4"/>
  <c r="S213" i="4"/>
  <c r="S159" i="4"/>
  <c r="Y160" i="4"/>
  <c r="Z212" i="4"/>
  <c r="Z64" i="4" s="1"/>
  <c r="AA267" i="4"/>
  <c r="AA299" i="4"/>
  <c r="AA303" i="4" s="1"/>
  <c r="AA97" i="4" s="1"/>
  <c r="AA99" i="4" s="1"/>
  <c r="Y114" i="4"/>
  <c r="Y113" i="4"/>
  <c r="Y186" i="4"/>
  <c r="Y102" i="4"/>
  <c r="Y101" i="4"/>
  <c r="Y103" i="4"/>
  <c r="Z132" i="4"/>
  <c r="Z350" i="4"/>
  <c r="Z377" i="4" s="1"/>
  <c r="Z349" i="4"/>
  <c r="Z376" i="4" s="1"/>
  <c r="Z348" i="4"/>
  <c r="Y366" i="4"/>
  <c r="AB283" i="4"/>
  <c r="AA319" i="4"/>
  <c r="Y352" i="4" a="1"/>
  <c r="Y352" i="4" s="1"/>
  <c r="Y351" i="4"/>
  <c r="Y375" i="4"/>
  <c r="Y378" i="4" s="1"/>
  <c r="Y145" i="4" s="1"/>
  <c r="Y27" i="4"/>
  <c r="AC271" i="4"/>
  <c r="AB307" i="4"/>
  <c r="Y29" i="4"/>
  <c r="Y337" i="4"/>
  <c r="Y184" i="4"/>
  <c r="Y338" i="4" a="1"/>
  <c r="Y338" i="4" s="1"/>
  <c r="X190" i="4"/>
  <c r="X193" i="4" s="1"/>
  <c r="X55" i="4" s="1"/>
  <c r="AB281" i="4"/>
  <c r="AA317" i="4"/>
  <c r="AA286" i="4"/>
  <c r="Y344" i="4"/>
  <c r="Y345" i="4" a="1"/>
  <c r="Y345" i="4" s="1"/>
  <c r="Z369" i="4"/>
  <c r="Y369" i="4"/>
  <c r="Y372" i="4" s="1"/>
  <c r="Y116" i="4" s="1"/>
  <c r="X111" i="4"/>
  <c r="X141" i="4"/>
  <c r="X139" i="4"/>
  <c r="X178" i="4"/>
  <c r="X179" i="4" s="1"/>
  <c r="X180" i="4" s="1"/>
  <c r="S63" i="4"/>
  <c r="S16" i="4" s="1"/>
  <c r="S18" i="4" s="1"/>
  <c r="S74" i="4"/>
  <c r="T206" i="4"/>
  <c r="Y185" i="4"/>
  <c r="X104" i="4"/>
  <c r="X105" i="4" s="1"/>
  <c r="X106" i="4" s="1"/>
  <c r="W195" i="4"/>
  <c r="AA207" i="4"/>
  <c r="AD279" i="4"/>
  <c r="AG270" i="4"/>
  <c r="AB326" i="4"/>
  <c r="AA88" i="4"/>
  <c r="AG264" i="4"/>
  <c r="AC249" i="4"/>
  <c r="AC90" i="4" s="1"/>
  <c r="Y178" i="4"/>
  <c r="Y179" i="4" s="1"/>
  <c r="Y180" i="4" s="1"/>
  <c r="Y111" i="4"/>
  <c r="Y141" i="4"/>
  <c r="Y139" i="4"/>
  <c r="AB247" i="4"/>
  <c r="AA69" i="4"/>
  <c r="AA57" i="4"/>
  <c r="AB219" i="4"/>
  <c r="AB248" i="4"/>
  <c r="AB89" i="4" s="1"/>
  <c r="AE260" i="4"/>
  <c r="AF260" i="4" s="1"/>
  <c r="AC318" i="4"/>
  <c r="AC301" i="4"/>
  <c r="AC311" i="4"/>
  <c r="AC297" i="4"/>
  <c r="AC302" i="4"/>
  <c r="AD327" i="4"/>
  <c r="AD296" i="4" s="1"/>
  <c r="AC321" i="4"/>
  <c r="AC309" i="4"/>
  <c r="AC315" i="4"/>
  <c r="AC320" i="4"/>
  <c r="AC316" i="4"/>
  <c r="AC310" i="4"/>
  <c r="AC298" i="4"/>
  <c r="AC306" i="4"/>
  <c r="AC300" i="4"/>
  <c r="AG274" i="4"/>
  <c r="AA360" i="4"/>
  <c r="AA9" i="4"/>
  <c r="AA84" i="4"/>
  <c r="AA402" i="4"/>
  <c r="AA49" i="4"/>
  <c r="AA228" i="4"/>
  <c r="AA385" i="4"/>
  <c r="AA122" i="4"/>
  <c r="AA172" i="4"/>
  <c r="AA331" i="4"/>
  <c r="AB1" i="4"/>
  <c r="AA293" i="4"/>
  <c r="AA257" i="4"/>
  <c r="X129" i="4" l="1"/>
  <c r="U38" i="19"/>
  <c r="Y129" i="4"/>
  <c r="V38" i="19"/>
  <c r="Z15" i="4"/>
  <c r="Z68" i="4"/>
  <c r="AA218" i="4"/>
  <c r="Z56" i="4"/>
  <c r="Z178" i="4"/>
  <c r="Z179" i="4" s="1"/>
  <c r="Z180" i="4" s="1"/>
  <c r="Z205" i="4" s="1"/>
  <c r="BJ30" i="15"/>
  <c r="BJ37" i="15" s="1"/>
  <c r="BJ29" i="15"/>
  <c r="BJ36" i="15" s="1"/>
  <c r="BJ28" i="15"/>
  <c r="BJ35" i="15" s="1"/>
  <c r="BJ27" i="15"/>
  <c r="BJ34" i="15" s="1"/>
  <c r="BJ26" i="15"/>
  <c r="Z139" i="4"/>
  <c r="Z33" i="4" s="1"/>
  <c r="X142" i="4"/>
  <c r="Z141" i="4"/>
  <c r="Z111" i="4"/>
  <c r="Z23" i="4" s="1"/>
  <c r="Y144" i="4"/>
  <c r="Z30" i="4" s="1"/>
  <c r="Y143" i="4"/>
  <c r="Y391" i="4"/>
  <c r="Y142" i="4" s="1"/>
  <c r="AB390" i="4"/>
  <c r="Y32" i="4"/>
  <c r="BK23" i="15"/>
  <c r="Z75" i="4"/>
  <c r="X380" i="4"/>
  <c r="AA251" i="4"/>
  <c r="AA92" i="4"/>
  <c r="Z372" i="4"/>
  <c r="Z116" i="4" s="1"/>
  <c r="Z60" i="4"/>
  <c r="Y21" i="4"/>
  <c r="AA322" i="4"/>
  <c r="AA133" i="4" s="1"/>
  <c r="AA135" i="4" s="1"/>
  <c r="Z28" i="4"/>
  <c r="Y14" i="4"/>
  <c r="Z192" i="4"/>
  <c r="U206" i="4"/>
  <c r="T74" i="4"/>
  <c r="T63" i="4"/>
  <c r="T16" i="4" s="1"/>
  <c r="T18" i="4" s="1"/>
  <c r="X112" i="4"/>
  <c r="X22" i="4" s="1"/>
  <c r="X23" i="4"/>
  <c r="AC281" i="4"/>
  <c r="AB317" i="4"/>
  <c r="AB286" i="4"/>
  <c r="Z366" i="4"/>
  <c r="AB342" i="4"/>
  <c r="AB370" i="4" s="1"/>
  <c r="AB343" i="4"/>
  <c r="AB371" i="4" s="1"/>
  <c r="AB341" i="4"/>
  <c r="AB369" i="4" s="1"/>
  <c r="AB109" i="4"/>
  <c r="AB115" i="4" s="1"/>
  <c r="Y354" i="4"/>
  <c r="Y190" i="4"/>
  <c r="Y193" i="4" s="1"/>
  <c r="Y55" i="4" s="1"/>
  <c r="Z102" i="4"/>
  <c r="Z101" i="4"/>
  <c r="Z103" i="4"/>
  <c r="Z29" i="4"/>
  <c r="S76" i="4"/>
  <c r="S38" i="4"/>
  <c r="X14" i="4"/>
  <c r="X205" i="4"/>
  <c r="X71" i="4"/>
  <c r="Y355" i="4"/>
  <c r="Y408" i="4" s="1"/>
  <c r="Y414" i="4" s="1"/>
  <c r="Y104" i="4"/>
  <c r="Y105" i="4" s="1"/>
  <c r="Y106" i="4" s="1"/>
  <c r="Y380" i="4"/>
  <c r="Z138" i="4"/>
  <c r="Z137" i="4"/>
  <c r="Z136" i="4"/>
  <c r="AA334" i="4"/>
  <c r="AA363" i="4" s="1"/>
  <c r="AA96" i="4"/>
  <c r="AA336" i="4"/>
  <c r="AA365" i="4" s="1"/>
  <c r="AA288" i="4"/>
  <c r="AA335" i="4"/>
  <c r="AA364" i="4" s="1"/>
  <c r="S161" i="4"/>
  <c r="S39" i="4"/>
  <c r="Z388" i="4"/>
  <c r="X72" i="4"/>
  <c r="X37" i="4"/>
  <c r="X195" i="4"/>
  <c r="AA369" i="4"/>
  <c r="AA372" i="4" s="1"/>
  <c r="AA116" i="4" s="1"/>
  <c r="AA344" i="4"/>
  <c r="AA345" i="4" a="1"/>
  <c r="AA345" i="4" s="1"/>
  <c r="AA349" i="4"/>
  <c r="AA376" i="4" s="1"/>
  <c r="AA350" i="4"/>
  <c r="AA377" i="4" s="1"/>
  <c r="AA348" i="4"/>
  <c r="AA132" i="4"/>
  <c r="Y187" i="4"/>
  <c r="Z352" i="4" a="1"/>
  <c r="Z352" i="4" s="1"/>
  <c r="Z351" i="4"/>
  <c r="Z375" i="4"/>
  <c r="Z27" i="4"/>
  <c r="AB267" i="4"/>
  <c r="AB299" i="4"/>
  <c r="AB303" i="4" s="1"/>
  <c r="AB97" i="4" s="1"/>
  <c r="AB99" i="4" s="1"/>
  <c r="AB246" i="4"/>
  <c r="AB236" i="4"/>
  <c r="Z185" i="4"/>
  <c r="AA113" i="4"/>
  <c r="AA114" i="4"/>
  <c r="X33" i="4"/>
  <c r="X32" i="4"/>
  <c r="AD271" i="4"/>
  <c r="AD307" i="4" s="1"/>
  <c r="AC307" i="4"/>
  <c r="AC283" i="4"/>
  <c r="AB319" i="4"/>
  <c r="Z191" i="4"/>
  <c r="AE239" i="4"/>
  <c r="AA212" i="4"/>
  <c r="AA75" i="4" s="1"/>
  <c r="Z160" i="4"/>
  <c r="T159" i="4"/>
  <c r="U211" i="4"/>
  <c r="T213" i="4"/>
  <c r="AC272" i="4"/>
  <c r="AC276" i="4" s="1"/>
  <c r="AB308" i="4"/>
  <c r="AB312" i="4" s="1"/>
  <c r="AB110" i="4" s="1"/>
  <c r="AB250" i="4"/>
  <c r="AB251" i="4" s="1"/>
  <c r="Z337" i="4"/>
  <c r="Z184" i="4"/>
  <c r="Z338" i="4" a="1"/>
  <c r="Z338" i="4" s="1"/>
  <c r="Z186" i="4"/>
  <c r="AB207" i="4"/>
  <c r="AE279" i="4"/>
  <c r="AF279" i="4" s="1"/>
  <c r="AE296" i="4"/>
  <c r="AC248" i="4"/>
  <c r="AC89" i="4" s="1"/>
  <c r="Y23" i="4"/>
  <c r="Y112" i="4"/>
  <c r="Y117" i="4" s="1"/>
  <c r="Y118" i="4" s="1"/>
  <c r="AH270" i="4"/>
  <c r="AG260" i="4"/>
  <c r="AC219" i="4"/>
  <c r="AB57" i="4"/>
  <c r="AB69" i="4"/>
  <c r="AC247" i="4"/>
  <c r="AD249" i="4"/>
  <c r="AE242" i="4"/>
  <c r="AB88" i="4"/>
  <c r="Y33" i="4"/>
  <c r="Y71" i="4"/>
  <c r="Y205" i="4"/>
  <c r="AC326" i="4"/>
  <c r="AH274" i="4"/>
  <c r="AD318" i="4"/>
  <c r="AE318" i="4" s="1"/>
  <c r="AD301" i="4"/>
  <c r="AE301" i="4" s="1"/>
  <c r="AD311" i="4"/>
  <c r="AE311" i="4" s="1"/>
  <c r="AD297" i="4"/>
  <c r="AE297" i="4" s="1"/>
  <c r="AD302" i="4"/>
  <c r="AE302" i="4" s="1"/>
  <c r="AE327" i="4"/>
  <c r="AF327" i="4" s="1"/>
  <c r="AD321" i="4"/>
  <c r="AE321" i="4" s="1"/>
  <c r="AD309" i="4"/>
  <c r="AE309" i="4" s="1"/>
  <c r="AD315" i="4"/>
  <c r="AD320" i="4"/>
  <c r="AE320" i="4" s="1"/>
  <c r="AD316" i="4"/>
  <c r="AE316" i="4" s="1"/>
  <c r="AD310" i="4"/>
  <c r="AE310" i="4" s="1"/>
  <c r="AD298" i="4"/>
  <c r="AE298" i="4" s="1"/>
  <c r="AD306" i="4"/>
  <c r="AD300" i="4"/>
  <c r="AE300" i="4" s="1"/>
  <c r="AH262" i="4"/>
  <c r="AE234" i="4"/>
  <c r="F27" i="3" s="1"/>
  <c r="Z21" i="4"/>
  <c r="AH264" i="4"/>
  <c r="AB360" i="4"/>
  <c r="AB402" i="4"/>
  <c r="AB84" i="4"/>
  <c r="AB257" i="4"/>
  <c r="AB122" i="4"/>
  <c r="AB228" i="4"/>
  <c r="AB293" i="4"/>
  <c r="AC1" i="4"/>
  <c r="AB9" i="4"/>
  <c r="AB331" i="4"/>
  <c r="AB49" i="4"/>
  <c r="AB385" i="4"/>
  <c r="AB172" i="4"/>
  <c r="BJ33" i="15" l="1"/>
  <c r="Z71" i="4"/>
  <c r="AA15" i="4"/>
  <c r="AA68" i="4"/>
  <c r="AA56" i="4"/>
  <c r="AB218" i="4"/>
  <c r="Z14" i="4"/>
  <c r="AA128" i="4"/>
  <c r="AB24" i="4"/>
  <c r="AA24" i="4"/>
  <c r="Z128" i="4"/>
  <c r="BK30" i="15"/>
  <c r="BK37" i="15" s="1"/>
  <c r="BK29" i="15"/>
  <c r="BK36" i="15" s="1"/>
  <c r="BK28" i="15"/>
  <c r="BK35" i="15" s="1"/>
  <c r="BK27" i="15"/>
  <c r="BK34" i="15" s="1"/>
  <c r="BK26" i="15"/>
  <c r="BK33" i="15" s="1"/>
  <c r="Z112" i="4"/>
  <c r="Z22" i="4" s="1"/>
  <c r="AA178" i="4"/>
  <c r="AA179" i="4" s="1"/>
  <c r="AA180" i="4" s="1"/>
  <c r="AA205" i="4" s="1"/>
  <c r="AA139" i="4"/>
  <c r="AA33" i="4" s="1"/>
  <c r="AA141" i="4"/>
  <c r="AA111" i="4"/>
  <c r="AA23" i="4" s="1"/>
  <c r="Z144" i="4"/>
  <c r="AA30" i="4" s="1"/>
  <c r="Z143" i="4"/>
  <c r="Z391" i="4"/>
  <c r="Z142" i="4" s="1"/>
  <c r="Y31" i="4"/>
  <c r="AA28" i="4"/>
  <c r="AC390" i="4"/>
  <c r="Z32" i="4"/>
  <c r="BL23" i="15"/>
  <c r="AA324" i="4"/>
  <c r="Z355" i="4"/>
  <c r="Z408" i="4" s="1"/>
  <c r="Z414" i="4" s="1"/>
  <c r="AA192" i="4"/>
  <c r="Z354" i="4"/>
  <c r="AA64" i="4"/>
  <c r="AB372" i="4"/>
  <c r="AB116" i="4" s="1"/>
  <c r="AC342" i="4"/>
  <c r="AC370" i="4" s="1"/>
  <c r="AC341" i="4"/>
  <c r="AC369" i="4" s="1"/>
  <c r="AC343" i="4"/>
  <c r="AC371" i="4" s="1"/>
  <c r="AC109" i="4"/>
  <c r="AC115" i="4" s="1"/>
  <c r="AC250" i="4"/>
  <c r="AC91" i="4" s="1"/>
  <c r="U213" i="4"/>
  <c r="U159" i="4"/>
  <c r="V211" i="4"/>
  <c r="AF246" i="4"/>
  <c r="AD283" i="4"/>
  <c r="AC319" i="4"/>
  <c r="AA191" i="4"/>
  <c r="AC236" i="4"/>
  <c r="AC246" i="4"/>
  <c r="AC87" i="4" s="1"/>
  <c r="AA101" i="4"/>
  <c r="AA103" i="4"/>
  <c r="AA102" i="4"/>
  <c r="AA27" i="4"/>
  <c r="AB322" i="4"/>
  <c r="Z187" i="4"/>
  <c r="T161" i="4"/>
  <c r="T39" i="4"/>
  <c r="Y72" i="4"/>
  <c r="Y195" i="4"/>
  <c r="Y37" i="4"/>
  <c r="AA185" i="4"/>
  <c r="AA184" i="4"/>
  <c r="AA338" i="4" a="1"/>
  <c r="AA338" i="4" s="1"/>
  <c r="AA337" i="4"/>
  <c r="AD281" i="4"/>
  <c r="AC286" i="4"/>
  <c r="AC317" i="4"/>
  <c r="AD272" i="4"/>
  <c r="AD276" i="4" s="1"/>
  <c r="AC308" i="4"/>
  <c r="AC312" i="4" s="1"/>
  <c r="AC110" i="4" s="1"/>
  <c r="AB334" i="4"/>
  <c r="AB363" i="4" s="1"/>
  <c r="AB335" i="4"/>
  <c r="AB364" i="4" s="1"/>
  <c r="AB288" i="4"/>
  <c r="AB96" i="4"/>
  <c r="AB336" i="4"/>
  <c r="Z190" i="4"/>
  <c r="Z193" i="4" s="1"/>
  <c r="Z55" i="4" s="1"/>
  <c r="Z378" i="4"/>
  <c r="Z145" i="4" s="1"/>
  <c r="AA138" i="4"/>
  <c r="AA136" i="4"/>
  <c r="AA137" i="4"/>
  <c r="AA388" i="4"/>
  <c r="X62" i="4"/>
  <c r="X413" i="4"/>
  <c r="X416" i="4" s="1"/>
  <c r="X158" i="4"/>
  <c r="X73" i="4"/>
  <c r="X407" i="4"/>
  <c r="X410" i="4" s="1"/>
  <c r="AB113" i="4"/>
  <c r="AB114" i="4"/>
  <c r="Z104" i="4"/>
  <c r="Z105" i="4" s="1"/>
  <c r="Z106" i="4" s="1"/>
  <c r="X117" i="4"/>
  <c r="T76" i="4"/>
  <c r="T38" i="4"/>
  <c r="AE307" i="4"/>
  <c r="AA366" i="4"/>
  <c r="AB91" i="4"/>
  <c r="AA160" i="4"/>
  <c r="AB212" i="4"/>
  <c r="AB64" i="4" s="1"/>
  <c r="AE271" i="4"/>
  <c r="AF271" i="4" s="1"/>
  <c r="AF307" i="4" s="1"/>
  <c r="AB87" i="4"/>
  <c r="AC267" i="4"/>
  <c r="AC299" i="4"/>
  <c r="AC303" i="4" s="1"/>
  <c r="AC97" i="4" s="1"/>
  <c r="AC99" i="4" s="1"/>
  <c r="AA351" i="4"/>
  <c r="AA375" i="4"/>
  <c r="AA352" i="4" a="1"/>
  <c r="AA352" i="4" s="1"/>
  <c r="AA186" i="4"/>
  <c r="AB365" i="4"/>
  <c r="AA29" i="4"/>
  <c r="AB344" i="4"/>
  <c r="AB345" i="4" a="1"/>
  <c r="AB345" i="4" s="1"/>
  <c r="AB348" i="4"/>
  <c r="AB350" i="4"/>
  <c r="AB349" i="4"/>
  <c r="AB376" i="4" s="1"/>
  <c r="AB132" i="4"/>
  <c r="V206" i="4"/>
  <c r="U74" i="4"/>
  <c r="U63" i="4"/>
  <c r="U16" i="4" s="1"/>
  <c r="U18" i="4" s="1"/>
  <c r="AC207" i="4"/>
  <c r="AG279" i="4"/>
  <c r="AE306" i="4"/>
  <c r="AD326" i="4"/>
  <c r="AH260" i="4"/>
  <c r="AD248" i="4"/>
  <c r="AE241" i="4"/>
  <c r="Y158" i="4"/>
  <c r="Y73" i="4"/>
  <c r="Y407" i="4"/>
  <c r="Y413" i="4"/>
  <c r="Y62" i="4"/>
  <c r="AF249" i="4"/>
  <c r="AE240" i="4"/>
  <c r="AD247" i="4"/>
  <c r="AC57" i="4"/>
  <c r="AC69" i="4"/>
  <c r="AD219" i="4"/>
  <c r="AE315" i="4"/>
  <c r="AF302" i="4"/>
  <c r="AF321" i="4"/>
  <c r="AF311" i="4"/>
  <c r="AF297" i="4"/>
  <c r="AG327" i="4"/>
  <c r="AG298" i="4" s="1"/>
  <c r="AF318" i="4"/>
  <c r="AF301" i="4"/>
  <c r="AF309" i="4"/>
  <c r="AF315" i="4"/>
  <c r="AF316" i="4"/>
  <c r="AF320" i="4"/>
  <c r="AF306" i="4"/>
  <c r="AF300" i="4"/>
  <c r="AF298" i="4"/>
  <c r="AF310" i="4"/>
  <c r="AD90" i="4"/>
  <c r="AE90" i="4" s="1"/>
  <c r="D15" i="6" s="1"/>
  <c r="AE249" i="4"/>
  <c r="F35" i="3" s="1"/>
  <c r="AC88" i="4"/>
  <c r="AF296" i="4"/>
  <c r="Z158" i="4"/>
  <c r="Z407" i="4"/>
  <c r="Z73" i="4"/>
  <c r="Z413" i="4"/>
  <c r="Z62" i="4"/>
  <c r="Y22" i="4"/>
  <c r="AC228" i="4"/>
  <c r="AC360" i="4"/>
  <c r="AC122" i="4"/>
  <c r="AC385" i="4"/>
  <c r="AD1" i="4"/>
  <c r="AC49" i="4"/>
  <c r="AC402" i="4"/>
  <c r="AC257" i="4"/>
  <c r="AC293" i="4"/>
  <c r="AC9" i="4"/>
  <c r="AC172" i="4"/>
  <c r="AC331" i="4"/>
  <c r="AC84" i="4"/>
  <c r="AA129" i="4" l="1"/>
  <c r="X38" i="19"/>
  <c r="Z129" i="4"/>
  <c r="W38" i="19"/>
  <c r="AA203" i="4"/>
  <c r="AA60" i="4" s="1"/>
  <c r="AC218" i="4"/>
  <c r="AB56" i="4"/>
  <c r="AB68" i="4"/>
  <c r="AB15" i="4"/>
  <c r="BL30" i="15"/>
  <c r="BL37" i="15" s="1"/>
  <c r="BL29" i="15"/>
  <c r="BL36" i="15" s="1"/>
  <c r="BL28" i="15"/>
  <c r="BL35" i="15" s="1"/>
  <c r="BL27" i="15"/>
  <c r="BL34" i="15" s="1"/>
  <c r="BL26" i="15"/>
  <c r="BL33" i="15" s="1"/>
  <c r="AF90" i="4"/>
  <c r="E15" i="6" s="1"/>
  <c r="G35" i="3"/>
  <c r="Z117" i="4"/>
  <c r="Z118" i="4" s="1"/>
  <c r="Z31" i="4"/>
  <c r="AC322" i="4"/>
  <c r="AC133" i="4" s="1"/>
  <c r="AC135" i="4" s="1"/>
  <c r="AA14" i="4"/>
  <c r="AA71" i="4"/>
  <c r="X118" i="4"/>
  <c r="AF87" i="4"/>
  <c r="E12" i="6" s="1"/>
  <c r="G32" i="3"/>
  <c r="AC251" i="4"/>
  <c r="AA112" i="4"/>
  <c r="AA22" i="4" s="1"/>
  <c r="AC92" i="4"/>
  <c r="AA144" i="4"/>
  <c r="AB30" i="4" s="1"/>
  <c r="AA143" i="4"/>
  <c r="AA391" i="4"/>
  <c r="AA31" i="4" s="1"/>
  <c r="AD390" i="4"/>
  <c r="BM23" i="15"/>
  <c r="AB92" i="4"/>
  <c r="Z416" i="4"/>
  <c r="Z410" i="4"/>
  <c r="AC324" i="4"/>
  <c r="AC203" i="4" s="1"/>
  <c r="AB29" i="4"/>
  <c r="AC372" i="4"/>
  <c r="AC116" i="4" s="1"/>
  <c r="Z380" i="4"/>
  <c r="AB75" i="4"/>
  <c r="AB191" i="4"/>
  <c r="AB138" i="4"/>
  <c r="AB137" i="4"/>
  <c r="AB136" i="4"/>
  <c r="AG271" i="4"/>
  <c r="AA142" i="4"/>
  <c r="AB184" i="4"/>
  <c r="AB337" i="4"/>
  <c r="AB338" i="4" a="1"/>
  <c r="AB338" i="4" s="1"/>
  <c r="AC350" i="4"/>
  <c r="AC377" i="4" s="1"/>
  <c r="AC132" i="4"/>
  <c r="AC348" i="4"/>
  <c r="AC349" i="4"/>
  <c r="AC376" i="4" s="1"/>
  <c r="AA355" i="4"/>
  <c r="AA408" i="4" s="1"/>
  <c r="AA414" i="4" s="1"/>
  <c r="AB27" i="4"/>
  <c r="AE243" i="4"/>
  <c r="AD250" i="4"/>
  <c r="AB160" i="4"/>
  <c r="AC212" i="4"/>
  <c r="AC64" i="4" s="1"/>
  <c r="AA104" i="4"/>
  <c r="AA105" i="4" s="1"/>
  <c r="AA106" i="4" s="1"/>
  <c r="AB101" i="4"/>
  <c r="AB103" i="4"/>
  <c r="AB102" i="4"/>
  <c r="AE281" i="4"/>
  <c r="AF281" i="4" s="1"/>
  <c r="AD317" i="4"/>
  <c r="AD286" i="4"/>
  <c r="AA187" i="4"/>
  <c r="Z72" i="4"/>
  <c r="Z37" i="4"/>
  <c r="Z195" i="4"/>
  <c r="W211" i="4"/>
  <c r="V159" i="4"/>
  <c r="V213" i="4"/>
  <c r="AC344" i="4"/>
  <c r="AC345" i="4" a="1"/>
  <c r="AC345" i="4" s="1"/>
  <c r="U76" i="4"/>
  <c r="U38" i="4"/>
  <c r="AB186" i="4"/>
  <c r="AB377" i="4"/>
  <c r="AB192" i="4" s="1"/>
  <c r="AC335" i="4"/>
  <c r="AC364" i="4" s="1"/>
  <c r="AC334" i="4"/>
  <c r="AC363" i="4" s="1"/>
  <c r="AC336" i="4"/>
  <c r="AC96" i="4"/>
  <c r="AC288" i="4"/>
  <c r="AE276" i="4"/>
  <c r="F63" i="3" s="1"/>
  <c r="AD342" i="4"/>
  <c r="AD341" i="4"/>
  <c r="AD109" i="4"/>
  <c r="AD115" i="4" s="1"/>
  <c r="AE115" i="4" s="1"/>
  <c r="AD343" i="4"/>
  <c r="AB388" i="4"/>
  <c r="AE272" i="4"/>
  <c r="AF272" i="4" s="1"/>
  <c r="AF276" i="4" s="1"/>
  <c r="AD308" i="4"/>
  <c r="AB366" i="4"/>
  <c r="AB104" i="4" s="1"/>
  <c r="AB133" i="4"/>
  <c r="AB135" i="4" s="1"/>
  <c r="AB324" i="4"/>
  <c r="AB28" i="4"/>
  <c r="AE283" i="4"/>
  <c r="AF283" i="4" s="1"/>
  <c r="AG283" i="4" s="1"/>
  <c r="AD319" i="4"/>
  <c r="AE319" i="4" s="1"/>
  <c r="U161" i="4"/>
  <c r="U39" i="4"/>
  <c r="W206" i="4"/>
  <c r="V63" i="4"/>
  <c r="V16" i="4" s="1"/>
  <c r="V18" i="4" s="1"/>
  <c r="V74" i="4"/>
  <c r="AB375" i="4"/>
  <c r="AB352" i="4" a="1"/>
  <c r="AB352" i="4" s="1"/>
  <c r="AB351" i="4"/>
  <c r="AA378" i="4"/>
  <c r="AA145" i="4" s="1"/>
  <c r="AA190" i="4"/>
  <c r="AA193" i="4" s="1"/>
  <c r="AA55" i="4" s="1"/>
  <c r="AE263" i="4"/>
  <c r="AD267" i="4"/>
  <c r="AD299" i="4"/>
  <c r="AB185" i="4"/>
  <c r="AA354" i="4"/>
  <c r="AE231" i="4"/>
  <c r="F24" i="3" s="1"/>
  <c r="AD246" i="4"/>
  <c r="AD236" i="4"/>
  <c r="AE236" i="4" s="1"/>
  <c r="AG246" i="4"/>
  <c r="AC113" i="4"/>
  <c r="AC114" i="4"/>
  <c r="AD207" i="4"/>
  <c r="AH279" i="4"/>
  <c r="AD88" i="4"/>
  <c r="AE247" i="4"/>
  <c r="F33" i="3" s="1"/>
  <c r="Y410" i="4"/>
  <c r="AA62" i="4"/>
  <c r="AA158" i="4"/>
  <c r="AA73" i="4"/>
  <c r="AA407" i="4"/>
  <c r="AA413" i="4"/>
  <c r="AD69" i="4"/>
  <c r="AE69" i="4" s="1"/>
  <c r="AD57" i="4"/>
  <c r="AE57" i="4" s="1"/>
  <c r="D88" i="6" s="1"/>
  <c r="AE219" i="4"/>
  <c r="AF247" i="4"/>
  <c r="G33" i="3" s="1"/>
  <c r="AF248" i="4"/>
  <c r="AG249" i="4"/>
  <c r="AD89" i="4"/>
  <c r="AE89" i="4" s="1"/>
  <c r="D14" i="6" s="1"/>
  <c r="AE248" i="4"/>
  <c r="F34" i="3" s="1"/>
  <c r="AE326" i="4"/>
  <c r="AF326" i="4" s="1"/>
  <c r="AG318" i="4"/>
  <c r="AG321" i="4"/>
  <c r="AG311" i="4"/>
  <c r="AG302" i="4"/>
  <c r="AH327" i="4"/>
  <c r="AG301" i="4"/>
  <c r="AG297" i="4"/>
  <c r="AG309" i="4"/>
  <c r="AG315" i="4"/>
  <c r="AG316" i="4"/>
  <c r="AG320" i="4"/>
  <c r="AG306" i="4"/>
  <c r="AG310" i="4"/>
  <c r="AG300" i="4"/>
  <c r="AG307" i="4"/>
  <c r="Y416" i="4"/>
  <c r="AG296" i="4"/>
  <c r="AD9" i="4"/>
  <c r="AE1" i="4"/>
  <c r="AD49" i="4"/>
  <c r="AH1" i="4"/>
  <c r="AD172" i="4"/>
  <c r="AD385" i="4"/>
  <c r="AD122" i="4"/>
  <c r="AD257" i="4"/>
  <c r="AD331" i="4"/>
  <c r="AD228" i="4"/>
  <c r="AD84" i="4"/>
  <c r="AD293" i="4"/>
  <c r="AF1" i="4"/>
  <c r="AG1" i="4"/>
  <c r="AD402" i="4"/>
  <c r="AD360" i="4"/>
  <c r="AA21" i="4" l="1"/>
  <c r="AD218" i="4"/>
  <c r="AC56" i="4"/>
  <c r="AC15" i="4"/>
  <c r="AC68" i="4"/>
  <c r="AC178" i="4"/>
  <c r="AC179" i="4" s="1"/>
  <c r="AC180" i="4" s="1"/>
  <c r="AC205" i="4" s="1"/>
  <c r="AB111" i="4"/>
  <c r="AB23" i="4" s="1"/>
  <c r="BM30" i="15"/>
  <c r="BM37" i="15" s="1"/>
  <c r="BM29" i="15"/>
  <c r="BM36" i="15" s="1"/>
  <c r="BM28" i="15"/>
  <c r="BM35" i="15" s="1"/>
  <c r="BM27" i="15"/>
  <c r="BM34" i="15" s="1"/>
  <c r="BM26" i="15"/>
  <c r="BM33" i="15" s="1"/>
  <c r="AA117" i="4"/>
  <c r="AA118" i="4" s="1"/>
  <c r="AF89" i="4"/>
  <c r="E14" i="6" s="1"/>
  <c r="G34" i="3"/>
  <c r="AG90" i="4"/>
  <c r="F15" i="6" s="1"/>
  <c r="H35" i="3"/>
  <c r="AB178" i="4"/>
  <c r="AB179" i="4" s="1"/>
  <c r="AB180" i="4" s="1"/>
  <c r="AB205" i="4" s="1"/>
  <c r="AB413" i="4" s="1"/>
  <c r="AB354" i="4"/>
  <c r="AC141" i="4"/>
  <c r="AC111" i="4"/>
  <c r="AC23" i="4" s="1"/>
  <c r="AC139" i="4"/>
  <c r="AC33" i="4" s="1"/>
  <c r="AG87" i="4"/>
  <c r="F12" i="6" s="1"/>
  <c r="H32" i="3"/>
  <c r="AB139" i="4"/>
  <c r="AB33" i="4" s="1"/>
  <c r="AD251" i="4"/>
  <c r="AE251" i="4" s="1"/>
  <c r="AB144" i="4"/>
  <c r="AC30" i="4" s="1"/>
  <c r="AB143" i="4"/>
  <c r="AB391" i="4"/>
  <c r="AB142" i="4" s="1"/>
  <c r="AE390" i="4"/>
  <c r="AF390" i="4" s="1"/>
  <c r="AG390" i="4" s="1"/>
  <c r="AH390" i="4" s="1"/>
  <c r="BN23" i="15"/>
  <c r="AB141" i="4"/>
  <c r="AC29" i="4"/>
  <c r="AB355" i="4"/>
  <c r="AB408" i="4" s="1"/>
  <c r="AB414" i="4" s="1"/>
  <c r="AA410" i="4"/>
  <c r="AC28" i="4"/>
  <c r="AA416" i="4"/>
  <c r="AC191" i="4"/>
  <c r="AC75" i="4"/>
  <c r="AF341" i="4"/>
  <c r="AF109" i="4"/>
  <c r="AF115" i="4" s="1"/>
  <c r="AF343" i="4"/>
  <c r="AF342" i="4"/>
  <c r="G63" i="3"/>
  <c r="AD336" i="4"/>
  <c r="AE336" i="4" s="1"/>
  <c r="AD288" i="4"/>
  <c r="AD96" i="4"/>
  <c r="AE267" i="4"/>
  <c r="F62" i="3" s="1"/>
  <c r="AD335" i="4"/>
  <c r="AD364" i="4" s="1"/>
  <c r="AE364" i="4" s="1"/>
  <c r="AD334" i="4"/>
  <c r="AD363" i="4" s="1"/>
  <c r="AE343" i="4"/>
  <c r="AD371" i="4"/>
  <c r="AE371" i="4" s="1"/>
  <c r="AC338" i="4" a="1"/>
  <c r="AC338" i="4" s="1"/>
  <c r="AC184" i="4"/>
  <c r="AC337" i="4"/>
  <c r="AE317" i="4"/>
  <c r="AD322" i="4"/>
  <c r="AC27" i="4"/>
  <c r="AC351" i="4"/>
  <c r="AC375" i="4"/>
  <c r="AC378" i="4" s="1"/>
  <c r="AC145" i="4" s="1"/>
  <c r="AC352" i="4" a="1"/>
  <c r="AC352" i="4" s="1"/>
  <c r="AG263" i="4"/>
  <c r="AF267" i="4"/>
  <c r="AF299" i="4"/>
  <c r="AF303" i="4" s="1"/>
  <c r="AF97" i="4" s="1"/>
  <c r="AF99" i="4" s="1"/>
  <c r="X206" i="4"/>
  <c r="W74" i="4"/>
  <c r="W63" i="4"/>
  <c r="W16" i="4" s="1"/>
  <c r="W18" i="4" s="1"/>
  <c r="AF319" i="4"/>
  <c r="AB105" i="4"/>
  <c r="AB106" i="4" s="1"/>
  <c r="AE109" i="4"/>
  <c r="AD114" i="4"/>
  <c r="AE114" i="4" s="1"/>
  <c r="AD113" i="4"/>
  <c r="AE113" i="4" s="1"/>
  <c r="AC388" i="4"/>
  <c r="AC185" i="4"/>
  <c r="V161" i="4"/>
  <c r="V39" i="4"/>
  <c r="AG281" i="4"/>
  <c r="AF286" i="4"/>
  <c r="AF317" i="4"/>
  <c r="AA380" i="4"/>
  <c r="AC138" i="4"/>
  <c r="AC137" i="4"/>
  <c r="AC136" i="4"/>
  <c r="AD87" i="4"/>
  <c r="AE87" i="4" s="1"/>
  <c r="D12" i="6" s="1"/>
  <c r="AE246" i="4"/>
  <c r="F32" i="3" s="1"/>
  <c r="AB190" i="4"/>
  <c r="AB193" i="4" s="1"/>
  <c r="AB55" i="4" s="1"/>
  <c r="AB378" i="4"/>
  <c r="AE308" i="4"/>
  <c r="AD312" i="4"/>
  <c r="AD344" i="4"/>
  <c r="AE344" i="4" s="1"/>
  <c r="AD369" i="4"/>
  <c r="AE341" i="4"/>
  <c r="AD345" i="4" a="1"/>
  <c r="AD345" i="4" s="1"/>
  <c r="AE345" i="4" s="1"/>
  <c r="AC101" i="4"/>
  <c r="AC102" i="4"/>
  <c r="AC103" i="4"/>
  <c r="W159" i="4"/>
  <c r="X211" i="4"/>
  <c r="W213" i="4"/>
  <c r="AA195" i="4"/>
  <c r="AA37" i="4"/>
  <c r="AA72" i="4"/>
  <c r="AD91" i="4"/>
  <c r="AE91" i="4" s="1"/>
  <c r="D16" i="6" s="1"/>
  <c r="AE250" i="4"/>
  <c r="F36" i="3" s="1"/>
  <c r="AB187" i="4"/>
  <c r="AE299" i="4"/>
  <c r="AD303" i="4"/>
  <c r="V76" i="4"/>
  <c r="V38" i="4"/>
  <c r="AB203" i="4"/>
  <c r="AB60" i="4" s="1"/>
  <c r="AG276" i="4"/>
  <c r="AF308" i="4"/>
  <c r="AF312" i="4" s="1"/>
  <c r="AF110" i="4" s="1"/>
  <c r="AA32" i="4"/>
  <c r="AD370" i="4"/>
  <c r="AE370" i="4" s="1"/>
  <c r="AE342" i="4"/>
  <c r="AC186" i="4"/>
  <c r="AD348" i="4"/>
  <c r="AE286" i="4"/>
  <c r="F64" i="3" s="1"/>
  <c r="F65" i="3" s="1"/>
  <c r="AD132" i="4"/>
  <c r="AD350" i="4"/>
  <c r="AD349" i="4"/>
  <c r="AD212" i="4"/>
  <c r="AD64" i="4" s="1"/>
  <c r="AE64" i="4" s="1"/>
  <c r="D95" i="6" s="1"/>
  <c r="AC160" i="4"/>
  <c r="AF250" i="4"/>
  <c r="AC365" i="4"/>
  <c r="AC192" i="4" s="1"/>
  <c r="AH271" i="4"/>
  <c r="AH307" i="4" s="1"/>
  <c r="AE207" i="4"/>
  <c r="D72" i="6"/>
  <c r="AF219" i="4"/>
  <c r="AH301" i="4"/>
  <c r="AH302" i="4"/>
  <c r="AH318" i="4"/>
  <c r="AH321" i="4"/>
  <c r="AH297" i="4"/>
  <c r="AH311" i="4"/>
  <c r="AH309" i="4"/>
  <c r="AH315" i="4"/>
  <c r="AH320" i="4"/>
  <c r="AH316" i="4"/>
  <c r="AH310" i="4"/>
  <c r="AH298" i="4"/>
  <c r="AH306" i="4"/>
  <c r="AH300" i="4"/>
  <c r="AG326" i="4"/>
  <c r="AH248" i="4"/>
  <c r="AG248" i="4"/>
  <c r="AH247" i="4"/>
  <c r="I33" i="3" s="1"/>
  <c r="AG247" i="4"/>
  <c r="H33" i="3" s="1"/>
  <c r="AH296" i="4"/>
  <c r="AF88" i="4"/>
  <c r="AE88" i="4"/>
  <c r="D13" i="6" s="1"/>
  <c r="AH385" i="4"/>
  <c r="AH172" i="4"/>
  <c r="AH293" i="4"/>
  <c r="AH84" i="4"/>
  <c r="AH228" i="4"/>
  <c r="G1" i="6"/>
  <c r="AH9" i="4"/>
  <c r="AH49" i="4"/>
  <c r="AH257" i="4"/>
  <c r="AH360" i="4"/>
  <c r="AH122" i="4"/>
  <c r="AH331" i="4"/>
  <c r="AH402" i="4"/>
  <c r="I23" i="3"/>
  <c r="AG9" i="4"/>
  <c r="AG122" i="4"/>
  <c r="H23" i="3"/>
  <c r="AG172" i="4"/>
  <c r="AG49" i="4"/>
  <c r="AG293" i="4"/>
  <c r="AG228" i="4"/>
  <c r="AG84" i="4"/>
  <c r="AG402" i="4"/>
  <c r="AG385" i="4"/>
  <c r="F1" i="6"/>
  <c r="AG360" i="4"/>
  <c r="AG257" i="4"/>
  <c r="AG331" i="4"/>
  <c r="AE84" i="4"/>
  <c r="AE122" i="4"/>
  <c r="D1" i="6"/>
  <c r="AE402" i="4"/>
  <c r="AE331" i="4"/>
  <c r="AE257" i="4"/>
  <c r="AE293" i="4"/>
  <c r="AE228" i="4"/>
  <c r="AE360" i="4"/>
  <c r="AE385" i="4"/>
  <c r="AE172" i="4"/>
  <c r="AE49" i="4"/>
  <c r="F23" i="3"/>
  <c r="AE9" i="4"/>
  <c r="AF228" i="4"/>
  <c r="AF385" i="4"/>
  <c r="AF49" i="4"/>
  <c r="AF84" i="4"/>
  <c r="AF331" i="4"/>
  <c r="AF122" i="4"/>
  <c r="AF172" i="4"/>
  <c r="AF402" i="4"/>
  <c r="AF360" i="4"/>
  <c r="AF9" i="4"/>
  <c r="G23" i="3"/>
  <c r="E1" i="6"/>
  <c r="AF257" i="4"/>
  <c r="AF293" i="4"/>
  <c r="AB112" i="4" l="1"/>
  <c r="AB22" i="4" s="1"/>
  <c r="AD56" i="4"/>
  <c r="AE56" i="4" s="1"/>
  <c r="D87" i="6" s="1"/>
  <c r="AD68" i="4"/>
  <c r="AE68" i="4" s="1"/>
  <c r="AE218" i="4"/>
  <c r="AD15" i="4"/>
  <c r="AE15" i="4" s="1"/>
  <c r="AC24" i="4"/>
  <c r="AB128" i="4"/>
  <c r="AC128" i="4"/>
  <c r="AD24" i="4"/>
  <c r="BN30" i="15"/>
  <c r="BN37" i="15" s="1"/>
  <c r="BN29" i="15"/>
  <c r="BN36" i="15" s="1"/>
  <c r="BN28" i="15"/>
  <c r="BN35" i="15" s="1"/>
  <c r="BN27" i="15"/>
  <c r="BN34" i="15" s="1"/>
  <c r="BN26" i="15"/>
  <c r="BN33" i="15" s="1"/>
  <c r="AF91" i="4"/>
  <c r="E16" i="6" s="1"/>
  <c r="G36" i="3"/>
  <c r="AB407" i="4"/>
  <c r="AB410" i="4" s="1"/>
  <c r="AC71" i="4"/>
  <c r="AB158" i="4"/>
  <c r="AB62" i="4"/>
  <c r="AB73" i="4"/>
  <c r="AB71" i="4"/>
  <c r="AB14" i="4"/>
  <c r="AC112" i="4"/>
  <c r="AC22" i="4" s="1"/>
  <c r="AC14" i="4"/>
  <c r="D17" i="6"/>
  <c r="E11" i="19" s="1"/>
  <c r="AI40" i="19" s="1"/>
  <c r="AH89" i="4"/>
  <c r="G14" i="6" s="1"/>
  <c r="I34" i="3"/>
  <c r="AG89" i="4"/>
  <c r="F14" i="6" s="1"/>
  <c r="H34" i="3"/>
  <c r="AE334" i="4"/>
  <c r="AD365" i="4"/>
  <c r="AD366" i="4" s="1"/>
  <c r="AB117" i="4"/>
  <c r="AB118" i="4" s="1"/>
  <c r="AE335" i="4"/>
  <c r="AB31" i="4"/>
  <c r="AC144" i="4"/>
  <c r="AD30" i="4" s="1"/>
  <c r="AE30" i="4" s="1"/>
  <c r="AC143" i="4"/>
  <c r="AC391" i="4"/>
  <c r="AC142" i="4" s="1"/>
  <c r="BO23" i="15"/>
  <c r="AD92" i="4"/>
  <c r="AC354" i="4"/>
  <c r="AF251" i="4"/>
  <c r="AD29" i="4"/>
  <c r="AE29" i="4" s="1"/>
  <c r="AC21" i="4"/>
  <c r="AC190" i="4"/>
  <c r="AC193" i="4" s="1"/>
  <c r="AC55" i="4" s="1"/>
  <c r="AC366" i="4"/>
  <c r="AC104" i="4" s="1"/>
  <c r="AC105" i="4" s="1"/>
  <c r="AC106" i="4" s="1"/>
  <c r="AD75" i="4"/>
  <c r="AE75" i="4" s="1"/>
  <c r="D104" i="6" s="1"/>
  <c r="AG343" i="4"/>
  <c r="AG371" i="4" s="1"/>
  <c r="H63" i="3"/>
  <c r="AG341" i="4"/>
  <c r="AG109" i="4"/>
  <c r="AG115" i="4" s="1"/>
  <c r="AG342" i="4"/>
  <c r="AG370" i="4" s="1"/>
  <c r="AD185" i="4"/>
  <c r="AE185" i="4" s="1"/>
  <c r="AD376" i="4"/>
  <c r="AE349" i="4"/>
  <c r="AD351" i="4"/>
  <c r="AE351" i="4" s="1"/>
  <c r="AD375" i="4"/>
  <c r="AE348" i="4"/>
  <c r="AD352" i="4" a="1"/>
  <c r="AD352" i="4" s="1"/>
  <c r="AE352" i="4" s="1"/>
  <c r="AC60" i="4"/>
  <c r="Y211" i="4"/>
  <c r="X159" i="4"/>
  <c r="X213" i="4"/>
  <c r="AD27" i="4"/>
  <c r="AE27" i="4" s="1"/>
  <c r="AB32" i="4"/>
  <c r="AH283" i="4"/>
  <c r="AH319" i="4" s="1"/>
  <c r="AG319" i="4"/>
  <c r="AC355" i="4"/>
  <c r="AD338" i="4" a="1"/>
  <c r="AD338" i="4" s="1"/>
  <c r="AE338" i="4" s="1"/>
  <c r="AD337" i="4"/>
  <c r="AE337" i="4" s="1"/>
  <c r="AD184" i="4"/>
  <c r="AD388" i="4"/>
  <c r="AE288" i="4"/>
  <c r="AF370" i="4"/>
  <c r="AG250" i="4"/>
  <c r="AE350" i="4"/>
  <c r="AD377" i="4"/>
  <c r="AE377" i="4" s="1"/>
  <c r="AH272" i="4"/>
  <c r="AH308" i="4" s="1"/>
  <c r="AH312" i="4" s="1"/>
  <c r="AH110" i="4" s="1"/>
  <c r="AG308" i="4"/>
  <c r="AG312" i="4" s="1"/>
  <c r="AG110" i="4" s="1"/>
  <c r="AB37" i="4"/>
  <c r="AB72" i="4"/>
  <c r="AB195" i="4"/>
  <c r="W161" i="4"/>
  <c r="W39" i="4"/>
  <c r="AE312" i="4"/>
  <c r="AD110" i="4"/>
  <c r="AE110" i="4" s="1"/>
  <c r="AF322" i="4"/>
  <c r="AF335" i="4"/>
  <c r="AF334" i="4"/>
  <c r="AF336" i="4"/>
  <c r="G62" i="3"/>
  <c r="AF96" i="4"/>
  <c r="AD133" i="4"/>
  <c r="AE322" i="4"/>
  <c r="AD186" i="4"/>
  <c r="AE186" i="4" s="1"/>
  <c r="AF371" i="4"/>
  <c r="AE132" i="4"/>
  <c r="AD136" i="4"/>
  <c r="AE136" i="4" s="1"/>
  <c r="AD138" i="4"/>
  <c r="AE138" i="4" s="1"/>
  <c r="AD137" i="4"/>
  <c r="AE137" i="4" s="1"/>
  <c r="AB21" i="4"/>
  <c r="AD324" i="4"/>
  <c r="AE303" i="4"/>
  <c r="AD97" i="4"/>
  <c r="AD28" i="4"/>
  <c r="AE28" i="4" s="1"/>
  <c r="AF288" i="4"/>
  <c r="AF132" i="4"/>
  <c r="AF349" i="4"/>
  <c r="AF348" i="4"/>
  <c r="G64" i="3"/>
  <c r="AF350" i="4"/>
  <c r="W38" i="4"/>
  <c r="W76" i="4"/>
  <c r="AH263" i="4"/>
  <c r="AH299" i="4" s="1"/>
  <c r="AG267" i="4"/>
  <c r="AG299" i="4"/>
  <c r="AG303" i="4" s="1"/>
  <c r="AG97" i="4" s="1"/>
  <c r="AG99" i="4" s="1"/>
  <c r="AC187" i="4"/>
  <c r="AF113" i="4"/>
  <c r="AF114" i="4"/>
  <c r="AD160" i="4"/>
  <c r="AE160" i="4" s="1"/>
  <c r="AE212" i="4"/>
  <c r="AD372" i="4"/>
  <c r="AE369" i="4"/>
  <c r="AB380" i="4"/>
  <c r="AB145" i="4"/>
  <c r="AH281" i="4"/>
  <c r="AG317" i="4"/>
  <c r="AG286" i="4"/>
  <c r="X74" i="4"/>
  <c r="Y206" i="4"/>
  <c r="X63" i="4"/>
  <c r="X16" i="4" s="1"/>
  <c r="X18" i="4" s="1"/>
  <c r="AE363" i="4"/>
  <c r="AE96" i="4"/>
  <c r="AD101" i="4"/>
  <c r="AE101" i="4" s="1"/>
  <c r="AF101" i="4" s="1"/>
  <c r="AD102" i="4"/>
  <c r="AE102" i="4" s="1"/>
  <c r="AD103" i="4"/>
  <c r="AE103" i="4" s="1"/>
  <c r="AF344" i="4"/>
  <c r="AF345" i="4" a="1"/>
  <c r="AF345" i="4" s="1"/>
  <c r="AF369" i="4"/>
  <c r="AF207" i="4"/>
  <c r="D60" i="6"/>
  <c r="E13" i="6"/>
  <c r="E17" i="6" s="1"/>
  <c r="F11" i="19" s="1"/>
  <c r="AJ40" i="19" s="1"/>
  <c r="AJ49" i="19" s="1"/>
  <c r="AF92" i="4"/>
  <c r="AF125" i="4" s="1"/>
  <c r="AC62" i="4"/>
  <c r="AC413" i="4"/>
  <c r="AC73" i="4"/>
  <c r="AC158" i="4"/>
  <c r="AC407" i="4"/>
  <c r="AH88" i="4"/>
  <c r="AH326" i="4"/>
  <c r="E72" i="6"/>
  <c r="AF69" i="4"/>
  <c r="AG219" i="4"/>
  <c r="AF57" i="4"/>
  <c r="E88" i="6" s="1"/>
  <c r="AB416" i="4"/>
  <c r="AG88" i="4"/>
  <c r="E80" i="6"/>
  <c r="E40" i="6"/>
  <c r="E9" i="6"/>
  <c r="D40" i="6"/>
  <c r="D80" i="6"/>
  <c r="D9" i="6"/>
  <c r="G61" i="3"/>
  <c r="G31" i="3"/>
  <c r="I31" i="3"/>
  <c r="I61" i="3"/>
  <c r="G9" i="6"/>
  <c r="G80" i="6"/>
  <c r="G40" i="6"/>
  <c r="F61" i="3"/>
  <c r="F31" i="3"/>
  <c r="F80" i="6"/>
  <c r="F9" i="6"/>
  <c r="F40" i="6"/>
  <c r="H61" i="3"/>
  <c r="H31" i="3"/>
  <c r="AI49" i="19" l="1"/>
  <c r="AC129" i="4"/>
  <c r="Z38" i="19"/>
  <c r="AB129" i="4"/>
  <c r="Y38" i="19"/>
  <c r="AE24" i="4"/>
  <c r="AF218" i="4"/>
  <c r="D71" i="6"/>
  <c r="AD141" i="4"/>
  <c r="AE141" i="4" s="1"/>
  <c r="AF24" i="4"/>
  <c r="AF128" i="4"/>
  <c r="BO30" i="15"/>
  <c r="BO37" i="15" s="1"/>
  <c r="BO29" i="15"/>
  <c r="BO36" i="15" s="1"/>
  <c r="BO28" i="15"/>
  <c r="BO35" i="15" s="1"/>
  <c r="BO27" i="15"/>
  <c r="BO34" i="15" s="1"/>
  <c r="BO26" i="15"/>
  <c r="BO33" i="15" s="1"/>
  <c r="AG91" i="4"/>
  <c r="F16" i="6" s="1"/>
  <c r="H36" i="3"/>
  <c r="AC117" i="4"/>
  <c r="AC118" i="4" s="1"/>
  <c r="AE92" i="4"/>
  <c r="AE289" i="4" s="1"/>
  <c r="AD178" i="4"/>
  <c r="AD179" i="4" s="1"/>
  <c r="AD111" i="4"/>
  <c r="AE111" i="4" s="1"/>
  <c r="AC31" i="4"/>
  <c r="AE365" i="4"/>
  <c r="AF376" i="4"/>
  <c r="AF372" i="4"/>
  <c r="AF116" i="4" s="1"/>
  <c r="AD139" i="4"/>
  <c r="AE139" i="4" s="1"/>
  <c r="AH276" i="4"/>
  <c r="AH109" i="4" s="1"/>
  <c r="AH115" i="4" s="1"/>
  <c r="AG251" i="4"/>
  <c r="AD143" i="4"/>
  <c r="AD391" i="4"/>
  <c r="AE391" i="4" s="1"/>
  <c r="AG322" i="4"/>
  <c r="AG133" i="4" s="1"/>
  <c r="AG135" i="4" s="1"/>
  <c r="AC32" i="4"/>
  <c r="BP23" i="15"/>
  <c r="AF377" i="4"/>
  <c r="AD355" i="4"/>
  <c r="AD408" i="4" s="1"/>
  <c r="AD192" i="4"/>
  <c r="AE192" i="4" s="1"/>
  <c r="AC380" i="4"/>
  <c r="AG101" i="4"/>
  <c r="AD104" i="4"/>
  <c r="AE104" i="4" s="1"/>
  <c r="Z206" i="4"/>
  <c r="Y74" i="4"/>
  <c r="Y63" i="4"/>
  <c r="Y16" i="4" s="1"/>
  <c r="Y18" i="4" s="1"/>
  <c r="AH286" i="4"/>
  <c r="AH317" i="4"/>
  <c r="AH322" i="4" s="1"/>
  <c r="AH133" i="4" s="1"/>
  <c r="AH135" i="4" s="1"/>
  <c r="AD116" i="4"/>
  <c r="AE116" i="4" s="1"/>
  <c r="AE372" i="4"/>
  <c r="AC37" i="4"/>
  <c r="AC72" i="4"/>
  <c r="AC195" i="4"/>
  <c r="AF365" i="4"/>
  <c r="AF186" i="4"/>
  <c r="AD144" i="4"/>
  <c r="AE388" i="4"/>
  <c r="AC408" i="4"/>
  <c r="AC410" i="4" s="1"/>
  <c r="AG113" i="4"/>
  <c r="AG114" i="4"/>
  <c r="X76" i="4"/>
  <c r="X38" i="4"/>
  <c r="AF138" i="4"/>
  <c r="AF137" i="4"/>
  <c r="AF136" i="4"/>
  <c r="AF27" i="4" s="1"/>
  <c r="AE97" i="4"/>
  <c r="AD99" i="4"/>
  <c r="AD135" i="4"/>
  <c r="AE135" i="4" s="1"/>
  <c r="AE133" i="4"/>
  <c r="AF338" i="4" a="1"/>
  <c r="AF338" i="4" s="1"/>
  <c r="AF337" i="4"/>
  <c r="AF363" i="4"/>
  <c r="AE184" i="4"/>
  <c r="AF184" i="4" s="1"/>
  <c r="AD187" i="4"/>
  <c r="X161" i="4"/>
  <c r="X39" i="4"/>
  <c r="AE376" i="4"/>
  <c r="AD191" i="4"/>
  <c r="AE191" i="4" s="1"/>
  <c r="AG344" i="4"/>
  <c r="AG345" i="4" a="1"/>
  <c r="AG345" i="4" s="1"/>
  <c r="AG369" i="4"/>
  <c r="AG372" i="4" s="1"/>
  <c r="AG116" i="4" s="1"/>
  <c r="AG288" i="4"/>
  <c r="AG348" i="4"/>
  <c r="AG132" i="4"/>
  <c r="AG349" i="4"/>
  <c r="AG376" i="4" s="1"/>
  <c r="H64" i="3"/>
  <c r="AG350" i="4"/>
  <c r="AG377" i="4" s="1"/>
  <c r="AF212" i="4"/>
  <c r="AF64" i="4" s="1"/>
  <c r="E95" i="6" s="1"/>
  <c r="D65" i="6"/>
  <c r="H62" i="3"/>
  <c r="AG336" i="4"/>
  <c r="AG334" i="4"/>
  <c r="AG335" i="4"/>
  <c r="AG96" i="4"/>
  <c r="G65" i="3"/>
  <c r="AF388" i="4"/>
  <c r="AF143" i="4" s="1"/>
  <c r="AF102" i="4"/>
  <c r="AF103" i="4"/>
  <c r="AF185" i="4"/>
  <c r="AF364" i="4"/>
  <c r="AD354" i="4"/>
  <c r="AE354" i="4" s="1"/>
  <c r="Z211" i="4"/>
  <c r="Y159" i="4"/>
  <c r="Y213" i="4"/>
  <c r="AE375" i="4"/>
  <c r="AD378" i="4"/>
  <c r="AD190" i="4"/>
  <c r="AH267" i="4"/>
  <c r="AH303" i="4"/>
  <c r="AH97" i="4" s="1"/>
  <c r="AH99" i="4" s="1"/>
  <c r="AF352" i="4" a="1"/>
  <c r="AF352" i="4" s="1"/>
  <c r="AF351" i="4"/>
  <c r="AF375" i="4"/>
  <c r="AD203" i="4"/>
  <c r="AE324" i="4"/>
  <c r="AF133" i="4"/>
  <c r="AF135" i="4" s="1"/>
  <c r="AF324" i="4"/>
  <c r="AF203" i="4" s="1"/>
  <c r="E56" i="6" s="1"/>
  <c r="AE366" i="4"/>
  <c r="AG207" i="4"/>
  <c r="E60" i="6"/>
  <c r="F13" i="6"/>
  <c r="F17" i="6" s="1"/>
  <c r="G11" i="19" s="1"/>
  <c r="AK40" i="19" s="1"/>
  <c r="AK49" i="19" s="1"/>
  <c r="AG69" i="4"/>
  <c r="AH219" i="4"/>
  <c r="F72" i="6"/>
  <c r="AG57" i="4"/>
  <c r="F88" i="6" s="1"/>
  <c r="AF111" i="4"/>
  <c r="AF139" i="4"/>
  <c r="AF33" i="4" s="1"/>
  <c r="AF289" i="4"/>
  <c r="AF141" i="4"/>
  <c r="AF93" i="4"/>
  <c r="AF178" i="4"/>
  <c r="G13" i="6"/>
  <c r="AG92" i="4" l="1"/>
  <c r="AG125" i="4" s="1"/>
  <c r="AF129" i="4"/>
  <c r="AJ38" i="19"/>
  <c r="AG24" i="4"/>
  <c r="AH341" i="4"/>
  <c r="AH369" i="4" s="1"/>
  <c r="AH342" i="4"/>
  <c r="AH370" i="4" s="1"/>
  <c r="AG218" i="4"/>
  <c r="AF56" i="4"/>
  <c r="E87" i="6" s="1"/>
  <c r="AF68" i="4"/>
  <c r="AF15" i="4"/>
  <c r="E71" i="6"/>
  <c r="AD128" i="4"/>
  <c r="AA38" i="19" s="1"/>
  <c r="AE125" i="4"/>
  <c r="BP30" i="15"/>
  <c r="BP37" i="15" s="1"/>
  <c r="BP29" i="15"/>
  <c r="BP36" i="15" s="1"/>
  <c r="BP28" i="15"/>
  <c r="BP35" i="15" s="1"/>
  <c r="BP27" i="15"/>
  <c r="BP34" i="15" s="1"/>
  <c r="BP26" i="15"/>
  <c r="BP33" i="15" s="1"/>
  <c r="AE93" i="4"/>
  <c r="AD112" i="4"/>
  <c r="AD117" i="4" s="1"/>
  <c r="AE178" i="4"/>
  <c r="AD33" i="4"/>
  <c r="AE33" i="4" s="1"/>
  <c r="AD23" i="4"/>
  <c r="AE23" i="4" s="1"/>
  <c r="I63" i="3"/>
  <c r="AH343" i="4"/>
  <c r="AH371" i="4" s="1"/>
  <c r="AD142" i="4"/>
  <c r="AE142" i="4" s="1"/>
  <c r="AG324" i="4"/>
  <c r="AG203" i="4" s="1"/>
  <c r="AG21" i="4" s="1"/>
  <c r="AF29" i="4"/>
  <c r="AD31" i="4"/>
  <c r="AE31" i="4" s="1"/>
  <c r="AF144" i="4"/>
  <c r="AF30" i="4" s="1"/>
  <c r="AF391" i="4"/>
  <c r="AF142" i="4" s="1"/>
  <c r="BQ23" i="15"/>
  <c r="AF378" i="4"/>
  <c r="AF145" i="4" s="1"/>
  <c r="AH324" i="4"/>
  <c r="AH203" i="4" s="1"/>
  <c r="AE355" i="4"/>
  <c r="AF355" i="4"/>
  <c r="AF408" i="4" s="1"/>
  <c r="AF192" i="4"/>
  <c r="AF75" i="4"/>
  <c r="E104" i="6" s="1"/>
  <c r="AF354" i="4"/>
  <c r="AF187" i="4"/>
  <c r="E47" i="6" s="1"/>
  <c r="AF191" i="4"/>
  <c r="AD145" i="4"/>
  <c r="AE378" i="4"/>
  <c r="AG337" i="4"/>
  <c r="AG338" i="4" a="1"/>
  <c r="AG338" i="4" s="1"/>
  <c r="AG363" i="4"/>
  <c r="AG184" i="4"/>
  <c r="AF160" i="4"/>
  <c r="E65" i="6"/>
  <c r="AG212" i="4"/>
  <c r="AG75" i="4" s="1"/>
  <c r="F104" i="6" s="1"/>
  <c r="AG136" i="4"/>
  <c r="AG27" i="4" s="1"/>
  <c r="AG138" i="4"/>
  <c r="AG137" i="4"/>
  <c r="AD72" i="4"/>
  <c r="AE72" i="4" s="1"/>
  <c r="D101" i="6" s="1"/>
  <c r="AE187" i="4"/>
  <c r="D47" i="6" s="1"/>
  <c r="AD37" i="4"/>
  <c r="AE37" i="4" s="1"/>
  <c r="AH113" i="4"/>
  <c r="AH114" i="4"/>
  <c r="AH350" i="4"/>
  <c r="AH377" i="4" s="1"/>
  <c r="AH132" i="4"/>
  <c r="AH349" i="4"/>
  <c r="AH376" i="4" s="1"/>
  <c r="I64" i="3"/>
  <c r="AH348" i="4"/>
  <c r="AG365" i="4"/>
  <c r="AG186" i="4"/>
  <c r="AG351" i="4"/>
  <c r="AG375" i="4"/>
  <c r="AG378" i="4" s="1"/>
  <c r="AG145" i="4" s="1"/>
  <c r="AG352" i="4" a="1"/>
  <c r="AG352" i="4" s="1"/>
  <c r="AC414" i="4"/>
  <c r="AC416" i="4" s="1"/>
  <c r="AD414" i="4"/>
  <c r="AE408" i="4"/>
  <c r="AD32" i="4"/>
  <c r="AE32" i="4" s="1"/>
  <c r="AE143" i="4"/>
  <c r="AD380" i="4"/>
  <c r="AE380" i="4" s="1"/>
  <c r="AD21" i="4"/>
  <c r="AE21" i="4" s="1"/>
  <c r="AD60" i="4"/>
  <c r="AE60" i="4" s="1"/>
  <c r="D91" i="6" s="1"/>
  <c r="AE203" i="4"/>
  <c r="AE190" i="4"/>
  <c r="AF190" i="4" s="1"/>
  <c r="AD193" i="4"/>
  <c r="Y39" i="4"/>
  <c r="Y161" i="4"/>
  <c r="AG103" i="4"/>
  <c r="AG102" i="4"/>
  <c r="H65" i="3"/>
  <c r="AG388" i="4"/>
  <c r="AG143" i="4" s="1"/>
  <c r="AF366" i="4"/>
  <c r="AF28" i="4"/>
  <c r="Y76" i="4"/>
  <c r="Y38" i="4"/>
  <c r="AH335" i="4"/>
  <c r="AH288" i="4"/>
  <c r="I62" i="3"/>
  <c r="AH336" i="4"/>
  <c r="AH334" i="4"/>
  <c r="AH96" i="4"/>
  <c r="Z213" i="4"/>
  <c r="Z159" i="4"/>
  <c r="AA211" i="4"/>
  <c r="AG364" i="4"/>
  <c r="AG185" i="4"/>
  <c r="AE99" i="4"/>
  <c r="AD105" i="4"/>
  <c r="AE144" i="4"/>
  <c r="AA206" i="4"/>
  <c r="Z74" i="4"/>
  <c r="Z63" i="4"/>
  <c r="Z16" i="4" s="1"/>
  <c r="Z18" i="4" s="1"/>
  <c r="AH101" i="4"/>
  <c r="AH207" i="4"/>
  <c r="F60" i="6"/>
  <c r="AF23" i="4"/>
  <c r="AF112" i="4"/>
  <c r="AF22" i="4" s="1"/>
  <c r="AG93" i="4"/>
  <c r="AG289" i="4"/>
  <c r="AG111" i="4"/>
  <c r="AG178" i="4"/>
  <c r="AG141" i="4"/>
  <c r="AG139" i="4"/>
  <c r="AF179" i="4"/>
  <c r="AF180" i="4" s="1"/>
  <c r="AH69" i="4"/>
  <c r="G72" i="6"/>
  <c r="AH57" i="4"/>
  <c r="G88" i="6" s="1"/>
  <c r="AD180" i="4"/>
  <c r="AE179" i="4"/>
  <c r="AJ48" i="19" l="1"/>
  <c r="AJ50" i="19" s="1"/>
  <c r="AJ41" i="19"/>
  <c r="AH344" i="4"/>
  <c r="AG128" i="4"/>
  <c r="AH372" i="4"/>
  <c r="AH116" i="4" s="1"/>
  <c r="AH345" i="4" a="1"/>
  <c r="AH345" i="4" s="1"/>
  <c r="AG68" i="4"/>
  <c r="AH218" i="4"/>
  <c r="AG15" i="4"/>
  <c r="F71" i="6"/>
  <c r="AG56" i="4"/>
  <c r="F87" i="6" s="1"/>
  <c r="AE128" i="4"/>
  <c r="AD129" i="4"/>
  <c r="BQ30" i="15"/>
  <c r="BQ37" i="15" s="1"/>
  <c r="BQ29" i="15"/>
  <c r="BQ36" i="15" s="1"/>
  <c r="BQ28" i="15"/>
  <c r="BQ35" i="15" s="1"/>
  <c r="BQ27" i="15"/>
  <c r="BQ34" i="15" s="1"/>
  <c r="BQ26" i="15"/>
  <c r="BQ33" i="15" s="1"/>
  <c r="AE112" i="4"/>
  <c r="AD22" i="4"/>
  <c r="AE22" i="4" s="1"/>
  <c r="F56" i="6"/>
  <c r="AG60" i="4"/>
  <c r="F91" i="6" s="1"/>
  <c r="AH21" i="4"/>
  <c r="AE117" i="4"/>
  <c r="AD118" i="4"/>
  <c r="AE105" i="4"/>
  <c r="AD106" i="4"/>
  <c r="AG354" i="4"/>
  <c r="AF31" i="4"/>
  <c r="AG144" i="4"/>
  <c r="AG30" i="4" s="1"/>
  <c r="AG391" i="4"/>
  <c r="AG142" i="4" s="1"/>
  <c r="BR23" i="15"/>
  <c r="I65" i="3"/>
  <c r="AF414" i="4"/>
  <c r="AG355" i="4"/>
  <c r="AG408" i="4" s="1"/>
  <c r="AG414" i="4" s="1"/>
  <c r="AF72" i="4"/>
  <c r="E101" i="6" s="1"/>
  <c r="AF193" i="4"/>
  <c r="E48" i="6" s="1"/>
  <c r="E49" i="6" s="1"/>
  <c r="AG192" i="4"/>
  <c r="AG64" i="4"/>
  <c r="F95" i="6" s="1"/>
  <c r="AF37" i="4"/>
  <c r="AG191" i="4"/>
  <c r="AA63" i="4"/>
  <c r="AA16" i="4" s="1"/>
  <c r="AA18" i="4" s="1"/>
  <c r="AB206" i="4"/>
  <c r="AA74" i="4"/>
  <c r="D56" i="6"/>
  <c r="AF21" i="4"/>
  <c r="AH103" i="4"/>
  <c r="AH102" i="4"/>
  <c r="AH388" i="4"/>
  <c r="AH143" i="4" s="1"/>
  <c r="AG187" i="4"/>
  <c r="AE145" i="4"/>
  <c r="AA159" i="4"/>
  <c r="AB211" i="4"/>
  <c r="AA213" i="4"/>
  <c r="AH338" i="4" a="1"/>
  <c r="AH338" i="4" s="1"/>
  <c r="AH337" i="4"/>
  <c r="AH363" i="4"/>
  <c r="AH184" i="4"/>
  <c r="AH364" i="4"/>
  <c r="AH185" i="4"/>
  <c r="AF104" i="4"/>
  <c r="AF105" i="4" s="1"/>
  <c r="AF380" i="4"/>
  <c r="AE193" i="4"/>
  <c r="D48" i="6" s="1"/>
  <c r="D49" i="6" s="1"/>
  <c r="AD55" i="4"/>
  <c r="AE55" i="4" s="1"/>
  <c r="D86" i="6" s="1"/>
  <c r="F65" i="6"/>
  <c r="AG160" i="4"/>
  <c r="AH212" i="4"/>
  <c r="AH64" i="4" s="1"/>
  <c r="G95" i="6" s="1"/>
  <c r="AG366" i="4"/>
  <c r="AG190" i="4"/>
  <c r="AF60" i="4"/>
  <c r="E91" i="6" s="1"/>
  <c r="Z38" i="4"/>
  <c r="Z76" i="4"/>
  <c r="Z161" i="4"/>
  <c r="Z39" i="4"/>
  <c r="AH186" i="4"/>
  <c r="AH365" i="4"/>
  <c r="AE414" i="4"/>
  <c r="AH138" i="4"/>
  <c r="AH137" i="4"/>
  <c r="AH136" i="4"/>
  <c r="AH27" i="4" s="1"/>
  <c r="AD195" i="4"/>
  <c r="AE195" i="4" s="1"/>
  <c r="AG28" i="4"/>
  <c r="AH351" i="4"/>
  <c r="AH352" i="4" a="1"/>
  <c r="AH352" i="4" s="1"/>
  <c r="AH375" i="4"/>
  <c r="AH378" i="4" s="1"/>
  <c r="AH145" i="4" s="1"/>
  <c r="AG29" i="4"/>
  <c r="AF117" i="4"/>
  <c r="G60" i="6"/>
  <c r="AG33" i="4"/>
  <c r="AG23" i="4"/>
  <c r="AG112" i="4"/>
  <c r="AG22" i="4" s="1"/>
  <c r="AD205" i="4"/>
  <c r="AE180" i="4"/>
  <c r="AF71" i="4" s="1"/>
  <c r="AD71" i="4"/>
  <c r="AD14" i="4"/>
  <c r="AF205" i="4"/>
  <c r="E44" i="6"/>
  <c r="AG179" i="4"/>
  <c r="AG180" i="4" s="1"/>
  <c r="G56" i="6"/>
  <c r="AH60" i="4"/>
  <c r="G91" i="6" s="1"/>
  <c r="AE129" i="4" l="1"/>
  <c r="AI38" i="19"/>
  <c r="AG129" i="4"/>
  <c r="AK38" i="19"/>
  <c r="G71" i="6"/>
  <c r="AH15" i="4"/>
  <c r="AH56" i="4"/>
  <c r="G87" i="6" s="1"/>
  <c r="AH68" i="4"/>
  <c r="BR30" i="15"/>
  <c r="BR37" i="15" s="1"/>
  <c r="BR29" i="15"/>
  <c r="BR36" i="15" s="1"/>
  <c r="BR28" i="15"/>
  <c r="BR35" i="15" s="1"/>
  <c r="BR27" i="15"/>
  <c r="BR34" i="15" s="1"/>
  <c r="BR26" i="15"/>
  <c r="BR33" i="15" s="1"/>
  <c r="H15" i="15"/>
  <c r="H14" i="15"/>
  <c r="AH28" i="4"/>
  <c r="AH29" i="4"/>
  <c r="AG31" i="4"/>
  <c r="E20" i="6"/>
  <c r="AF106" i="4"/>
  <c r="H18" i="15"/>
  <c r="H11" i="15" s="1"/>
  <c r="E21" i="6"/>
  <c r="AF118" i="4"/>
  <c r="D20" i="6"/>
  <c r="AE106" i="4"/>
  <c r="D21" i="6"/>
  <c r="AE118" i="4"/>
  <c r="AH144" i="4"/>
  <c r="AH30" i="4" s="1"/>
  <c r="AH391" i="4"/>
  <c r="AH142" i="4" s="1"/>
  <c r="AF195" i="4"/>
  <c r="AF32" i="4"/>
  <c r="BS23" i="15"/>
  <c r="AF55" i="4"/>
  <c r="E86" i="6" s="1"/>
  <c r="AH192" i="4"/>
  <c r="AG193" i="4"/>
  <c r="F48" i="6" s="1"/>
  <c r="AH191" i="4"/>
  <c r="AH75" i="4"/>
  <c r="G104" i="6" s="1"/>
  <c r="AH187" i="4"/>
  <c r="AG32" i="4"/>
  <c r="AG380" i="4"/>
  <c r="AG104" i="4"/>
  <c r="AG105" i="4" s="1"/>
  <c r="AH366" i="4"/>
  <c r="AH190" i="4"/>
  <c r="AC211" i="4"/>
  <c r="AB159" i="4"/>
  <c r="AB213" i="4"/>
  <c r="AA76" i="4"/>
  <c r="AA38" i="4"/>
  <c r="AH160" i="4"/>
  <c r="G65" i="6"/>
  <c r="AH354" i="4"/>
  <c r="AA39" i="4"/>
  <c r="AA161" i="4"/>
  <c r="AG37" i="4"/>
  <c r="AG72" i="4"/>
  <c r="F101" i="6" s="1"/>
  <c r="F47" i="6"/>
  <c r="AC206" i="4"/>
  <c r="AB74" i="4"/>
  <c r="AB63" i="4"/>
  <c r="AB16" i="4" s="1"/>
  <c r="AB18" i="4" s="1"/>
  <c r="AH355" i="4"/>
  <c r="AH408" i="4" s="1"/>
  <c r="AH414" i="4" s="1"/>
  <c r="F44" i="6"/>
  <c r="AG205" i="4"/>
  <c r="AG71" i="4"/>
  <c r="AG14" i="4"/>
  <c r="AF14" i="4"/>
  <c r="D44" i="6"/>
  <c r="E100" i="6"/>
  <c r="AE205" i="4"/>
  <c r="D58" i="6" s="1"/>
  <c r="AD158" i="4"/>
  <c r="AD413" i="4"/>
  <c r="AD407" i="4"/>
  <c r="AD73" i="4"/>
  <c r="AD62" i="4"/>
  <c r="AE14" i="4"/>
  <c r="AG117" i="4"/>
  <c r="AG118" i="4" s="1"/>
  <c r="E58" i="6"/>
  <c r="AF158" i="4"/>
  <c r="AE71" i="4"/>
  <c r="D100" i="6" s="1"/>
  <c r="AK48" i="19" l="1"/>
  <c r="AK50" i="19" s="1"/>
  <c r="AK41" i="19"/>
  <c r="AI48" i="19"/>
  <c r="AI50" i="19" s="1"/>
  <c r="AI41" i="19"/>
  <c r="BS30" i="15"/>
  <c r="BS29" i="15"/>
  <c r="BS28" i="15"/>
  <c r="BS27" i="15"/>
  <c r="BS26" i="15"/>
  <c r="AH234" i="4"/>
  <c r="I27" i="3" s="1"/>
  <c r="I35" i="3" s="1"/>
  <c r="AH235" i="4"/>
  <c r="I28" i="3" s="1"/>
  <c r="AH231" i="4"/>
  <c r="AH249" i="4"/>
  <c r="AH90" i="4" s="1"/>
  <c r="G15" i="6" s="1"/>
  <c r="AH31" i="4"/>
  <c r="F20" i="6"/>
  <c r="AG106" i="4"/>
  <c r="H23" i="15"/>
  <c r="AG195" i="4"/>
  <c r="AH193" i="4"/>
  <c r="AH55" i="4" s="1"/>
  <c r="G86" i="6" s="1"/>
  <c r="AG55" i="4"/>
  <c r="F86" i="6" s="1"/>
  <c r="AF73" i="4"/>
  <c r="E102" i="6" s="1"/>
  <c r="AF413" i="4"/>
  <c r="AF416" i="4" s="1"/>
  <c r="AF407" i="4"/>
  <c r="AF410" i="4" s="1"/>
  <c r="AB76" i="4"/>
  <c r="AB38" i="4"/>
  <c r="AB161" i="4"/>
  <c r="AB39" i="4"/>
  <c r="AC63" i="4"/>
  <c r="AC16" i="4" s="1"/>
  <c r="AC18" i="4" s="1"/>
  <c r="AC74" i="4"/>
  <c r="AD206" i="4"/>
  <c r="AC213" i="4"/>
  <c r="AC159" i="4"/>
  <c r="AD211" i="4"/>
  <c r="AH72" i="4"/>
  <c r="G101" i="6" s="1"/>
  <c r="AH37" i="4"/>
  <c r="G47" i="6"/>
  <c r="AH104" i="4"/>
  <c r="AH105" i="4" s="1"/>
  <c r="G20" i="6" s="1"/>
  <c r="AH380" i="4"/>
  <c r="F49" i="6"/>
  <c r="AF62" i="4"/>
  <c r="E93" i="6" s="1"/>
  <c r="AD416" i="4"/>
  <c r="AE413" i="4"/>
  <c r="AE416" i="4" s="1"/>
  <c r="AE62" i="4"/>
  <c r="D93" i="6" s="1"/>
  <c r="AE158" i="4"/>
  <c r="F100" i="6"/>
  <c r="AE73" i="4"/>
  <c r="D102" i="6" s="1"/>
  <c r="F58" i="6"/>
  <c r="AG158" i="4"/>
  <c r="AG73" i="4"/>
  <c r="AG407" i="4"/>
  <c r="AG410" i="4" s="1"/>
  <c r="AG413" i="4"/>
  <c r="AG416" i="4" s="1"/>
  <c r="AG62" i="4"/>
  <c r="F21" i="6"/>
  <c r="AD410" i="4"/>
  <c r="AE407" i="4"/>
  <c r="AE410" i="4" s="1"/>
  <c r="BS34" i="15" l="1"/>
  <c r="H34" i="15" s="1"/>
  <c r="H27" i="15"/>
  <c r="BS35" i="15"/>
  <c r="H35" i="15" s="1"/>
  <c r="H28" i="15"/>
  <c r="BS36" i="15"/>
  <c r="H36" i="15" s="1"/>
  <c r="H29" i="15"/>
  <c r="BS33" i="15"/>
  <c r="H33" i="15" s="1"/>
  <c r="H26" i="15"/>
  <c r="BS37" i="15"/>
  <c r="H37" i="15" s="1"/>
  <c r="H30" i="15"/>
  <c r="H24" i="15"/>
  <c r="H8" i="19"/>
  <c r="AL43" i="19" s="1"/>
  <c r="AL44" i="19" s="1"/>
  <c r="AH250" i="4"/>
  <c r="AH91" i="4" s="1"/>
  <c r="G16" i="6" s="1"/>
  <c r="I36" i="3"/>
  <c r="E40" i="15" s="1"/>
  <c r="F40" i="15" s="1"/>
  <c r="G40" i="15" s="1"/>
  <c r="H40" i="15" s="1"/>
  <c r="I24" i="3"/>
  <c r="AH236" i="4"/>
  <c r="AH246" i="4"/>
  <c r="G48" i="6"/>
  <c r="G49" i="6" s="1"/>
  <c r="AH195" i="4"/>
  <c r="AD63" i="4"/>
  <c r="AE206" i="4"/>
  <c r="AD74" i="4"/>
  <c r="AE211" i="4"/>
  <c r="AD213" i="4"/>
  <c r="AE213" i="4" s="1"/>
  <c r="AD159" i="4"/>
  <c r="AC38" i="4"/>
  <c r="AC76" i="4"/>
  <c r="AH32" i="4"/>
  <c r="AC39" i="4"/>
  <c r="AC161" i="4"/>
  <c r="F102" i="6"/>
  <c r="F93" i="6"/>
  <c r="AL45" i="19" l="1"/>
  <c r="I32" i="3"/>
  <c r="AH87" i="4"/>
  <c r="AH251" i="4"/>
  <c r="AE159" i="4"/>
  <c r="D27" i="6" s="1"/>
  <c r="AD161" i="4"/>
  <c r="AD39" i="4"/>
  <c r="AE39" i="4" s="1"/>
  <c r="AE74" i="4"/>
  <c r="D103" i="6" s="1"/>
  <c r="D105" i="6" s="1"/>
  <c r="AD76" i="4"/>
  <c r="AE76" i="4" s="1"/>
  <c r="AD38" i="4"/>
  <c r="AE38" i="4" s="1"/>
  <c r="D59" i="6"/>
  <c r="AF206" i="4"/>
  <c r="AF211" i="4"/>
  <c r="D64" i="6"/>
  <c r="D66" i="6" s="1"/>
  <c r="AE63" i="4"/>
  <c r="D94" i="6" s="1"/>
  <c r="AD16" i="4"/>
  <c r="G12" i="6" l="1"/>
  <c r="G17" i="6" s="1"/>
  <c r="AH92" i="4"/>
  <c r="AH125" i="4" s="1"/>
  <c r="AE161" i="4"/>
  <c r="AG211" i="4"/>
  <c r="E64" i="6"/>
  <c r="E66" i="6" s="1"/>
  <c r="AF159" i="4"/>
  <c r="AF213" i="4"/>
  <c r="AE16" i="4"/>
  <c r="AD18" i="4"/>
  <c r="AE18" i="4" s="1"/>
  <c r="E59" i="6"/>
  <c r="AF74" i="4"/>
  <c r="AF63" i="4"/>
  <c r="AG206" i="4"/>
  <c r="H11" i="19" l="1"/>
  <c r="AL40" i="19" s="1"/>
  <c r="D27" i="21"/>
  <c r="AH128" i="4"/>
  <c r="AH24" i="4"/>
  <c r="AH289" i="4"/>
  <c r="AH139" i="4"/>
  <c r="AH141" i="4"/>
  <c r="AH111" i="4"/>
  <c r="AH106" i="4"/>
  <c r="AH178" i="4"/>
  <c r="AH179" i="4" s="1"/>
  <c r="AH180" i="4" s="1"/>
  <c r="AH93" i="4"/>
  <c r="E103" i="6"/>
  <c r="E105" i="6" s="1"/>
  <c r="AF76" i="4"/>
  <c r="AF38" i="4"/>
  <c r="AF161" i="4"/>
  <c r="AF39" i="4"/>
  <c r="E27" i="6"/>
  <c r="F59" i="6"/>
  <c r="AG63" i="4"/>
  <c r="AH206" i="4"/>
  <c r="AG74" i="4"/>
  <c r="E94" i="6"/>
  <c r="AF16" i="4"/>
  <c r="AF18" i="4" s="1"/>
  <c r="AH211" i="4"/>
  <c r="AG159" i="4"/>
  <c r="F64" i="6"/>
  <c r="F66" i="6" s="1"/>
  <c r="AG213" i="4"/>
  <c r="AM40" i="19" l="1"/>
  <c r="AM42" i="19" s="1"/>
  <c r="AL49" i="19"/>
  <c r="AH129" i="4"/>
  <c r="AL38" i="19"/>
  <c r="AH14" i="4"/>
  <c r="AH23" i="4"/>
  <c r="AH112" i="4"/>
  <c r="AH22" i="4" s="1"/>
  <c r="G44" i="6"/>
  <c r="AH205" i="4"/>
  <c r="AH71" i="4"/>
  <c r="G100" i="6" s="1"/>
  <c r="AH33" i="4"/>
  <c r="F94" i="6"/>
  <c r="AG16" i="4"/>
  <c r="AG18" i="4" s="1"/>
  <c r="AG161" i="4"/>
  <c r="AG39" i="4"/>
  <c r="F27" i="6"/>
  <c r="G64" i="6"/>
  <c r="G66" i="6" s="1"/>
  <c r="AH159" i="4"/>
  <c r="AH213" i="4"/>
  <c r="AG38" i="4"/>
  <c r="F103" i="6"/>
  <c r="F105" i="6" s="1"/>
  <c r="AG76" i="4"/>
  <c r="AH63" i="4"/>
  <c r="G59" i="6"/>
  <c r="AH74" i="4"/>
  <c r="AL48" i="19" l="1"/>
  <c r="AL50" i="19" s="1"/>
  <c r="AL41" i="19"/>
  <c r="AM38" i="19"/>
  <c r="AM41" i="19" s="1"/>
  <c r="AH117" i="4"/>
  <c r="AH407" i="4"/>
  <c r="AH410" i="4" s="1"/>
  <c r="AH158" i="4"/>
  <c r="AH39" i="4" s="1"/>
  <c r="AH62" i="4"/>
  <c r="G93" i="6" s="1"/>
  <c r="AH413" i="4"/>
  <c r="AH416" i="4" s="1"/>
  <c r="AH73" i="4"/>
  <c r="G102" i="6" s="1"/>
  <c r="G58" i="6"/>
  <c r="G94" i="6"/>
  <c r="G103" i="6"/>
  <c r="AH161" i="4" l="1"/>
  <c r="G27" i="6"/>
  <c r="G105" i="6"/>
  <c r="AH16" i="4"/>
  <c r="AH18" i="4" s="1"/>
  <c r="AH38" i="4"/>
  <c r="AH76" i="4"/>
  <c r="AH118" i="4"/>
  <c r="G21" i="6"/>
  <c r="AT38" i="15" l="1"/>
  <c r="AZ38" i="15"/>
  <c r="AY38" i="15"/>
  <c r="AR38" i="15"/>
  <c r="BJ38" i="15"/>
  <c r="AX38" i="15"/>
  <c r="AF38" i="15"/>
  <c r="AA140" i="4" s="1"/>
  <c r="AB35" i="4" s="1"/>
  <c r="AE38" i="15"/>
  <c r="Z140" i="4" s="1"/>
  <c r="Z202" i="4" s="1"/>
  <c r="P38" i="15"/>
  <c r="AW38" i="15"/>
  <c r="AI38" i="15"/>
  <c r="AD140" i="4" s="1"/>
  <c r="AD146" i="4" s="1"/>
  <c r="BI38" i="15"/>
  <c r="BP38" i="15"/>
  <c r="BL38" i="15"/>
  <c r="BE38" i="15"/>
  <c r="AN38" i="15"/>
  <c r="AA38" i="15"/>
  <c r="V140" i="4" s="1"/>
  <c r="V146" i="4" s="1"/>
  <c r="BD38" i="15"/>
  <c r="AD38" i="15"/>
  <c r="Y140" i="4" s="1"/>
  <c r="Y146" i="4" s="1"/>
  <c r="BR38" i="15"/>
  <c r="AG38" i="15"/>
  <c r="AB140" i="4" s="1"/>
  <c r="AB146" i="4" s="1"/>
  <c r="Z38" i="15"/>
  <c r="U140" i="4" s="1"/>
  <c r="U202" i="4" s="1"/>
  <c r="BQ38" i="15"/>
  <c r="BM38" i="15"/>
  <c r="AM38" i="15"/>
  <c r="BO38" i="15"/>
  <c r="AP38" i="15"/>
  <c r="AC38" i="15"/>
  <c r="X140" i="4" s="1"/>
  <c r="X202" i="4" s="1"/>
  <c r="BK38" i="15"/>
  <c r="BF38" i="15"/>
  <c r="AS38" i="15"/>
  <c r="X38" i="15"/>
  <c r="S140" i="4" s="1"/>
  <c r="T35" i="4" s="1"/>
  <c r="T38" i="15"/>
  <c r="O38" i="15"/>
  <c r="L38" i="15"/>
  <c r="BN38" i="15"/>
  <c r="BA38" i="15"/>
  <c r="BC38" i="15"/>
  <c r="AQ38" i="15"/>
  <c r="AL38" i="15"/>
  <c r="BB38" i="15"/>
  <c r="AO38" i="15"/>
  <c r="S38" i="15"/>
  <c r="AB38" i="15"/>
  <c r="W140" i="4" s="1"/>
  <c r="W146" i="4" s="1"/>
  <c r="AU38" i="15"/>
  <c r="AK38" i="15"/>
  <c r="Y38" i="15"/>
  <c r="T140" i="4" s="1"/>
  <c r="M38" i="15"/>
  <c r="G140" i="4" s="1"/>
  <c r="BS38" i="15"/>
  <c r="Q38" i="15"/>
  <c r="K140" i="4" s="1"/>
  <c r="N38" i="15"/>
  <c r="H140" i="4" s="1"/>
  <c r="U38" i="15"/>
  <c r="O140" i="4" s="1"/>
  <c r="R38" i="15"/>
  <c r="L140" i="4" s="1"/>
  <c r="BG38" i="15"/>
  <c r="AJ38" i="15"/>
  <c r="V38" i="15"/>
  <c r="P140" i="4" s="1"/>
  <c r="M140" i="4" l="1"/>
  <c r="N35" i="4" s="1"/>
  <c r="G146" i="4"/>
  <c r="G149" i="4" s="1"/>
  <c r="G152" i="4" s="1"/>
  <c r="G163" i="4" s="1"/>
  <c r="F140" i="4"/>
  <c r="I140" i="4"/>
  <c r="I146" i="4" s="1"/>
  <c r="P35" i="4"/>
  <c r="N140" i="4"/>
  <c r="N202" i="4" s="1"/>
  <c r="K202" i="4"/>
  <c r="J140" i="4"/>
  <c r="K35" i="4" s="1"/>
  <c r="AA202" i="4"/>
  <c r="AA59" i="4" s="1"/>
  <c r="AD202" i="4"/>
  <c r="AE202" i="4" s="1"/>
  <c r="D55" i="6" s="1"/>
  <c r="Z35" i="4"/>
  <c r="G202" i="4"/>
  <c r="Z146" i="4"/>
  <c r="Z149" i="4" s="1"/>
  <c r="S202" i="4"/>
  <c r="Y35" i="4"/>
  <c r="BH38" i="15"/>
  <c r="W202" i="4"/>
  <c r="X59" i="4" s="1"/>
  <c r="X146" i="4"/>
  <c r="X149" i="4" s="1"/>
  <c r="X35" i="4"/>
  <c r="K146" i="4"/>
  <c r="K149" i="4" s="1"/>
  <c r="V202" i="4"/>
  <c r="V59" i="4" s="1"/>
  <c r="O146" i="4"/>
  <c r="O147" i="4" s="1"/>
  <c r="AV38" i="15"/>
  <c r="W35" i="4"/>
  <c r="L35" i="4"/>
  <c r="O202" i="4"/>
  <c r="AB202" i="4"/>
  <c r="AA35" i="4"/>
  <c r="S146" i="4"/>
  <c r="S149" i="4" s="1"/>
  <c r="H35" i="4"/>
  <c r="AA146" i="4"/>
  <c r="AA149" i="4" s="1"/>
  <c r="Y202" i="4"/>
  <c r="Y59" i="4" s="1"/>
  <c r="AC35" i="4"/>
  <c r="U146" i="4"/>
  <c r="U147" i="4" s="1"/>
  <c r="V35" i="4"/>
  <c r="J202" i="4"/>
  <c r="G38" i="15"/>
  <c r="AG140" i="4" s="1"/>
  <c r="G12" i="19" s="1"/>
  <c r="G9" i="19" s="1"/>
  <c r="AH38" i="15"/>
  <c r="AC140" i="4" s="1"/>
  <c r="AE140" i="4" s="1"/>
  <c r="E12" i="19" s="1"/>
  <c r="E9" i="19" s="1"/>
  <c r="V147" i="4"/>
  <c r="V149" i="4"/>
  <c r="U35" i="4"/>
  <c r="T146" i="4"/>
  <c r="T202" i="4"/>
  <c r="U59" i="4" s="1"/>
  <c r="AB147" i="4"/>
  <c r="AB149" i="4"/>
  <c r="W38" i="15"/>
  <c r="Q140" i="4" s="1"/>
  <c r="Q146" i="4" s="1"/>
  <c r="M146" i="4"/>
  <c r="H38" i="15"/>
  <c r="AH140" i="4" s="1"/>
  <c r="H12" i="19" s="1"/>
  <c r="H9" i="19" s="1"/>
  <c r="Y149" i="4"/>
  <c r="Y147" i="4"/>
  <c r="W149" i="4"/>
  <c r="W147" i="4"/>
  <c r="Q35" i="4"/>
  <c r="P146" i="4"/>
  <c r="P202" i="4"/>
  <c r="M35" i="4"/>
  <c r="L202" i="4"/>
  <c r="L146" i="4"/>
  <c r="I35" i="4"/>
  <c r="H146" i="4"/>
  <c r="H149" i="4" s="1"/>
  <c r="H152" i="4" s="1"/>
  <c r="H202" i="4"/>
  <c r="AD149" i="4"/>
  <c r="AD147" i="4"/>
  <c r="F38" i="15"/>
  <c r="AF140" i="4" s="1"/>
  <c r="F12" i="19" s="1"/>
  <c r="F9" i="19" s="1"/>
  <c r="K59" i="4" l="1"/>
  <c r="J35" i="4"/>
  <c r="I202" i="4"/>
  <c r="J59" i="4" s="1"/>
  <c r="J146" i="4"/>
  <c r="J147" i="4" s="1"/>
  <c r="E37" i="19"/>
  <c r="M202" i="4"/>
  <c r="M59" i="4" s="1"/>
  <c r="Q202" i="4"/>
  <c r="Q59" i="4" s="1"/>
  <c r="O35" i="4"/>
  <c r="S35" i="4"/>
  <c r="N146" i="4"/>
  <c r="N149" i="4" s="1"/>
  <c r="N152" i="4" s="1"/>
  <c r="L37" i="19" s="1"/>
  <c r="O59" i="4"/>
  <c r="H163" i="4"/>
  <c r="F37" i="19"/>
  <c r="Z59" i="4"/>
  <c r="AB59" i="4"/>
  <c r="AF146" i="4"/>
  <c r="AH202" i="4"/>
  <c r="AG202" i="4"/>
  <c r="F55" i="6" s="1"/>
  <c r="Z147" i="4"/>
  <c r="X147" i="4"/>
  <c r="K147" i="4"/>
  <c r="W59" i="4"/>
  <c r="O149" i="4"/>
  <c r="O152" i="4" s="1"/>
  <c r="M37" i="19" s="1"/>
  <c r="S147" i="4"/>
  <c r="AA147" i="4"/>
  <c r="U149" i="4"/>
  <c r="U150" i="4" s="1"/>
  <c r="L147" i="4"/>
  <c r="L149" i="4"/>
  <c r="I147" i="4"/>
  <c r="I149" i="4"/>
  <c r="V150" i="4"/>
  <c r="V152" i="4"/>
  <c r="S37" i="19" s="1"/>
  <c r="AD35" i="4"/>
  <c r="AC146" i="4"/>
  <c r="AC202" i="4"/>
  <c r="L59" i="4"/>
  <c r="T59" i="4"/>
  <c r="P147" i="4"/>
  <c r="P149" i="4"/>
  <c r="AD150" i="4"/>
  <c r="AD152" i="4"/>
  <c r="AA37" i="19" s="1"/>
  <c r="H59" i="4"/>
  <c r="AA152" i="4"/>
  <c r="X37" i="19" s="1"/>
  <c r="AA150" i="4"/>
  <c r="S150" i="4"/>
  <c r="S152" i="4"/>
  <c r="P37" i="19" s="1"/>
  <c r="Q147" i="4"/>
  <c r="Q149" i="4"/>
  <c r="K152" i="4"/>
  <c r="I37" i="19" s="1"/>
  <c r="K150" i="4"/>
  <c r="X152" i="4"/>
  <c r="U37" i="19" s="1"/>
  <c r="X150" i="4"/>
  <c r="M149" i="4"/>
  <c r="M147" i="4"/>
  <c r="Z150" i="4"/>
  <c r="Z152" i="4"/>
  <c r="W37" i="19" s="1"/>
  <c r="T147" i="4"/>
  <c r="T149" i="4"/>
  <c r="P59" i="4"/>
  <c r="W152" i="4"/>
  <c r="T37" i="19" s="1"/>
  <c r="W150" i="4"/>
  <c r="R202" i="4"/>
  <c r="C55" i="6" s="1"/>
  <c r="Y150" i="4"/>
  <c r="Y152" i="4"/>
  <c r="V37" i="19" s="1"/>
  <c r="AB152" i="4"/>
  <c r="Y37" i="19" s="1"/>
  <c r="AB150" i="4"/>
  <c r="S59" i="4"/>
  <c r="J149" i="4" l="1"/>
  <c r="J152" i="4" s="1"/>
  <c r="H37" i="19" s="1"/>
  <c r="I59" i="4"/>
  <c r="AE35" i="4"/>
  <c r="N150" i="4"/>
  <c r="N147" i="4"/>
  <c r="N59" i="4"/>
  <c r="AG35" i="4"/>
  <c r="AF35" i="4"/>
  <c r="AF202" i="4"/>
  <c r="E55" i="6" s="1"/>
  <c r="AH146" i="4"/>
  <c r="AH149" i="4" s="1"/>
  <c r="AG146" i="4"/>
  <c r="AG147" i="4" s="1"/>
  <c r="AH35" i="4"/>
  <c r="O150" i="4"/>
  <c r="J150" i="4"/>
  <c r="U152" i="4"/>
  <c r="K153" i="4"/>
  <c r="K163" i="4"/>
  <c r="AD153" i="4"/>
  <c r="AD163" i="4"/>
  <c r="G55" i="6"/>
  <c r="AH59" i="4"/>
  <c r="G90" i="6" s="1"/>
  <c r="L150" i="4"/>
  <c r="L152" i="4"/>
  <c r="J37" i="19" s="1"/>
  <c r="Z153" i="4"/>
  <c r="Z163" i="4"/>
  <c r="AA153" i="4"/>
  <c r="AA163" i="4"/>
  <c r="AB153" i="4"/>
  <c r="AB163" i="4"/>
  <c r="Y153" i="4"/>
  <c r="Y163" i="4"/>
  <c r="W153" i="4"/>
  <c r="W163" i="4"/>
  <c r="E22" i="6"/>
  <c r="E23" i="6" s="1"/>
  <c r="F13" i="19" s="1"/>
  <c r="AF147" i="4"/>
  <c r="AF149" i="4"/>
  <c r="X153" i="4"/>
  <c r="X163" i="4"/>
  <c r="S153" i="4"/>
  <c r="S163" i="4"/>
  <c r="P152" i="4"/>
  <c r="N37" i="19" s="1"/>
  <c r="P150" i="4"/>
  <c r="I150" i="4"/>
  <c r="I152" i="4"/>
  <c r="G37" i="19" s="1"/>
  <c r="J153" i="4"/>
  <c r="J163" i="4"/>
  <c r="G35" i="4"/>
  <c r="R140" i="4"/>
  <c r="D12" i="19" s="1"/>
  <c r="D9" i="19" s="1"/>
  <c r="F202" i="4"/>
  <c r="F146" i="4"/>
  <c r="M152" i="4"/>
  <c r="K37" i="19" s="1"/>
  <c r="M150" i="4"/>
  <c r="AC59" i="4"/>
  <c r="AD59" i="4"/>
  <c r="N153" i="4"/>
  <c r="N163" i="4"/>
  <c r="O153" i="4"/>
  <c r="O163" i="4"/>
  <c r="AC149" i="4"/>
  <c r="AC147" i="4"/>
  <c r="AE146" i="4"/>
  <c r="V153" i="4"/>
  <c r="V163" i="4"/>
  <c r="T152" i="4"/>
  <c r="Q37" i="19" s="1"/>
  <c r="T150" i="4"/>
  <c r="Q152" i="4"/>
  <c r="O37" i="19" s="1"/>
  <c r="Q150" i="4"/>
  <c r="U153" i="4" l="1"/>
  <c r="R37" i="19"/>
  <c r="E25" i="6"/>
  <c r="AG59" i="4"/>
  <c r="F90" i="6" s="1"/>
  <c r="G22" i="6"/>
  <c r="G23" i="6" s="1"/>
  <c r="H13" i="19" s="1"/>
  <c r="AH147" i="4"/>
  <c r="AF59" i="4"/>
  <c r="E90" i="6" s="1"/>
  <c r="AG149" i="4"/>
  <c r="AG150" i="4" s="1"/>
  <c r="F22" i="6"/>
  <c r="F23" i="6" s="1"/>
  <c r="G13" i="19" s="1"/>
  <c r="U163" i="4"/>
  <c r="AE59" i="4"/>
  <c r="D90" i="6" s="1"/>
  <c r="AC152" i="4"/>
  <c r="Z37" i="19" s="1"/>
  <c r="AC150" i="4"/>
  <c r="AE149" i="4"/>
  <c r="AE150" i="4" s="1"/>
  <c r="AF152" i="4"/>
  <c r="AF150" i="4"/>
  <c r="R35" i="4"/>
  <c r="P153" i="4"/>
  <c r="P163" i="4"/>
  <c r="AH150" i="4"/>
  <c r="AH152" i="4"/>
  <c r="Q153" i="4"/>
  <c r="Q163" i="4"/>
  <c r="D22" i="6"/>
  <c r="D23" i="6" s="1"/>
  <c r="E13" i="19" s="1"/>
  <c r="AE147" i="4"/>
  <c r="F149" i="4"/>
  <c r="R146" i="4"/>
  <c r="L153" i="4"/>
  <c r="L163" i="4"/>
  <c r="F59" i="4"/>
  <c r="G59" i="4"/>
  <c r="T153" i="4"/>
  <c r="T163" i="4"/>
  <c r="I153" i="4"/>
  <c r="I163" i="4"/>
  <c r="M153" i="4"/>
  <c r="M163" i="4"/>
  <c r="F15" i="19" l="1"/>
  <c r="F16" i="19" s="1"/>
  <c r="AJ37" i="19"/>
  <c r="E30" i="6"/>
  <c r="E26" i="6"/>
  <c r="G25" i="6"/>
  <c r="AL37" i="19" s="1"/>
  <c r="F25" i="6"/>
  <c r="D25" i="6"/>
  <c r="AI37" i="19" s="1"/>
  <c r="AG152" i="4"/>
  <c r="AG153" i="4" s="1"/>
  <c r="F152" i="4"/>
  <c r="D37" i="19" s="1"/>
  <c r="R149" i="4"/>
  <c r="R150" i="4" s="1"/>
  <c r="R59" i="4"/>
  <c r="C90" i="6" s="1"/>
  <c r="AC153" i="4"/>
  <c r="AC163" i="4"/>
  <c r="C22" i="6"/>
  <c r="C23" i="6" s="1"/>
  <c r="D13" i="19" s="1"/>
  <c r="R147" i="4"/>
  <c r="AH153" i="4"/>
  <c r="AH163" i="4"/>
  <c r="AF153" i="4"/>
  <c r="AF163" i="4"/>
  <c r="AE152" i="4"/>
  <c r="AE153" i="4" s="1"/>
  <c r="F26" i="6" l="1"/>
  <c r="AK37" i="19"/>
  <c r="G30" i="6"/>
  <c r="D28" i="21"/>
  <c r="F30" i="6"/>
  <c r="G15" i="19"/>
  <c r="G16" i="19" s="1"/>
  <c r="C25" i="6"/>
  <c r="G26" i="6"/>
  <c r="H15" i="19"/>
  <c r="H16" i="19" s="1"/>
  <c r="E15" i="19"/>
  <c r="E16" i="19" s="1"/>
  <c r="D26" i="6"/>
  <c r="D30" i="6"/>
  <c r="AG163" i="4"/>
  <c r="F163" i="4"/>
  <c r="R152" i="4"/>
  <c r="R153" i="4" s="1"/>
  <c r="AE163" i="4"/>
  <c r="D15" i="19" l="1"/>
  <c r="D16" i="19" s="1"/>
  <c r="AH37" i="19"/>
  <c r="C30" i="6"/>
  <c r="C26" i="6"/>
  <c r="F395" i="4"/>
  <c r="R163" i="4"/>
  <c r="F396" i="4" l="1"/>
  <c r="F397" i="4" s="1"/>
  <c r="G395" i="4"/>
  <c r="F164" i="4" l="1"/>
  <c r="G396" i="4"/>
  <c r="G397" i="4" s="1"/>
  <c r="G164" i="4" s="1"/>
  <c r="G166" i="4" s="1"/>
  <c r="G54" i="4" s="1"/>
  <c r="H395" i="4"/>
  <c r="H396" i="4" l="1"/>
  <c r="H397" i="4" s="1"/>
  <c r="I395" i="4"/>
  <c r="F204" i="4"/>
  <c r="F166" i="4"/>
  <c r="H164" i="4" l="1"/>
  <c r="F220" i="4"/>
  <c r="F54" i="4"/>
  <c r="G204" i="4"/>
  <c r="F36" i="4"/>
  <c r="F61" i="4"/>
  <c r="F208" i="4"/>
  <c r="F215" i="4" s="1"/>
  <c r="I396" i="4"/>
  <c r="I397" i="4" s="1"/>
  <c r="I164" i="4" s="1"/>
  <c r="I166" i="4" s="1"/>
  <c r="J395" i="4"/>
  <c r="I54" i="4" l="1"/>
  <c r="I167" i="4"/>
  <c r="H166" i="4"/>
  <c r="F41" i="4"/>
  <c r="F221" i="4"/>
  <c r="F223" i="4" s="1"/>
  <c r="F177" i="4" s="1"/>
  <c r="F181" i="4" s="1"/>
  <c r="F197" i="4" s="1"/>
  <c r="F5" i="4" s="1"/>
  <c r="G220" i="4"/>
  <c r="H204" i="4"/>
  <c r="G36" i="4"/>
  <c r="G41" i="4" s="1"/>
  <c r="G43" i="4" s="1"/>
  <c r="G61" i="4"/>
  <c r="G65" i="4" s="1"/>
  <c r="G78" i="4" s="1"/>
  <c r="G208" i="4"/>
  <c r="G215" i="4" s="1"/>
  <c r="F65" i="4"/>
  <c r="J396" i="4"/>
  <c r="J397" i="4" s="1"/>
  <c r="J164" i="4" s="1"/>
  <c r="J166" i="4" s="1"/>
  <c r="K395" i="4"/>
  <c r="H54" i="4" l="1"/>
  <c r="J167" i="4"/>
  <c r="J54" i="4"/>
  <c r="K396" i="4"/>
  <c r="K397" i="4" s="1"/>
  <c r="K164" i="4" s="1"/>
  <c r="K166" i="4" s="1"/>
  <c r="L395" i="4"/>
  <c r="G221" i="4"/>
  <c r="G223" i="4" s="1"/>
  <c r="G177" i="4" s="1"/>
  <c r="G181" i="4" s="1"/>
  <c r="G197" i="4" s="1"/>
  <c r="G5" i="4" s="1"/>
  <c r="H220" i="4"/>
  <c r="F78" i="4"/>
  <c r="F80" i="4" s="1"/>
  <c r="I204" i="4"/>
  <c r="H36" i="4"/>
  <c r="H41" i="4" s="1"/>
  <c r="H43" i="4" s="1"/>
  <c r="H61" i="4"/>
  <c r="H208" i="4"/>
  <c r="H215" i="4" s="1"/>
  <c r="F43" i="4"/>
  <c r="F45" i="4" l="1"/>
  <c r="F4" i="4" s="1"/>
  <c r="K167" i="4"/>
  <c r="K54" i="4"/>
  <c r="L396" i="4"/>
  <c r="L397" i="4" s="1"/>
  <c r="L164" i="4" s="1"/>
  <c r="L166" i="4" s="1"/>
  <c r="M395" i="4"/>
  <c r="H221" i="4"/>
  <c r="H223" i="4" s="1"/>
  <c r="H177" i="4" s="1"/>
  <c r="H181" i="4" s="1"/>
  <c r="H197" i="4" s="1"/>
  <c r="H5" i="4" s="1"/>
  <c r="I220" i="4"/>
  <c r="H65" i="4"/>
  <c r="J204" i="4"/>
  <c r="I36" i="4"/>
  <c r="I61" i="4"/>
  <c r="I65" i="4" s="1"/>
  <c r="I78" i="4" s="1"/>
  <c r="I208" i="4"/>
  <c r="I215" i="4" s="1"/>
  <c r="G51" i="4"/>
  <c r="G80" i="4" s="1"/>
  <c r="F3" i="4"/>
  <c r="G11" i="4" l="1"/>
  <c r="G45" i="4" s="1"/>
  <c r="H11" i="4" s="1"/>
  <c r="H45" i="4" s="1"/>
  <c r="L54" i="4"/>
  <c r="L167" i="4"/>
  <c r="I221" i="4"/>
  <c r="I223" i="4" s="1"/>
  <c r="I177" i="4" s="1"/>
  <c r="I181" i="4" s="1"/>
  <c r="I197" i="4" s="1"/>
  <c r="I5" i="4" s="1"/>
  <c r="J220" i="4"/>
  <c r="I41" i="4"/>
  <c r="M396" i="4"/>
  <c r="M397" i="4" s="1"/>
  <c r="M164" i="4" s="1"/>
  <c r="M166" i="4" s="1"/>
  <c r="N395" i="4"/>
  <c r="H51" i="4"/>
  <c r="G3" i="4"/>
  <c r="J36" i="4"/>
  <c r="J41" i="4" s="1"/>
  <c r="J43" i="4" s="1"/>
  <c r="J61" i="4"/>
  <c r="J65" i="4" s="1"/>
  <c r="J78" i="4" s="1"/>
  <c r="K204" i="4"/>
  <c r="J208" i="4"/>
  <c r="J215" i="4" s="1"/>
  <c r="H78" i="4"/>
  <c r="G4" i="4" l="1"/>
  <c r="M167" i="4"/>
  <c r="M54" i="4"/>
  <c r="N396" i="4"/>
  <c r="N397" i="4" s="1"/>
  <c r="N164" i="4" s="1"/>
  <c r="O395" i="4"/>
  <c r="K61" i="4"/>
  <c r="K65" i="4" s="1"/>
  <c r="K36" i="4"/>
  <c r="K41" i="4" s="1"/>
  <c r="K43" i="4" s="1"/>
  <c r="L204" i="4"/>
  <c r="K208" i="4"/>
  <c r="K215" i="4" s="1"/>
  <c r="H80" i="4"/>
  <c r="H4" i="4"/>
  <c r="I11" i="4"/>
  <c r="J221" i="4"/>
  <c r="J223" i="4" s="1"/>
  <c r="J177" i="4" s="1"/>
  <c r="J181" i="4" s="1"/>
  <c r="J197" i="4" s="1"/>
  <c r="J5" i="4" s="1"/>
  <c r="K220" i="4"/>
  <c r="I43" i="4"/>
  <c r="N166" i="4" l="1"/>
  <c r="I45" i="4"/>
  <c r="J11" i="4" s="1"/>
  <c r="J45" i="4" s="1"/>
  <c r="L61" i="4"/>
  <c r="L65" i="4" s="1"/>
  <c r="L78" i="4" s="1"/>
  <c r="L36" i="4"/>
  <c r="M204" i="4"/>
  <c r="L208" i="4"/>
  <c r="L215" i="4" s="1"/>
  <c r="H3" i="4"/>
  <c r="I51" i="4"/>
  <c r="I80" i="4" s="1"/>
  <c r="K78" i="4"/>
  <c r="K221" i="4"/>
  <c r="K223" i="4" s="1"/>
  <c r="K177" i="4" s="1"/>
  <c r="K181" i="4" s="1"/>
  <c r="K197" i="4" s="1"/>
  <c r="K5" i="4" s="1"/>
  <c r="L220" i="4"/>
  <c r="O396" i="4"/>
  <c r="O397" i="4" s="1"/>
  <c r="O164" i="4" s="1"/>
  <c r="O166" i="4" s="1"/>
  <c r="P395" i="4"/>
  <c r="O54" i="4" l="1"/>
  <c r="O167" i="4"/>
  <c r="N167" i="4"/>
  <c r="N54" i="4"/>
  <c r="I4" i="4"/>
  <c r="K11" i="4"/>
  <c r="K45" i="4" s="1"/>
  <c r="J4" i="4"/>
  <c r="L221" i="4"/>
  <c r="L223" i="4" s="1"/>
  <c r="L177" i="4" s="1"/>
  <c r="L181" i="4" s="1"/>
  <c r="L197" i="4" s="1"/>
  <c r="L5" i="4" s="1"/>
  <c r="M220" i="4"/>
  <c r="M36" i="4"/>
  <c r="M41" i="4" s="1"/>
  <c r="M43" i="4" s="1"/>
  <c r="N204" i="4"/>
  <c r="M61" i="4"/>
  <c r="M65" i="4" s="1"/>
  <c r="M208" i="4"/>
  <c r="M215" i="4" s="1"/>
  <c r="J51" i="4"/>
  <c r="J80" i="4" s="1"/>
  <c r="I3" i="4"/>
  <c r="L41" i="4"/>
  <c r="P396" i="4"/>
  <c r="P397" i="4" s="1"/>
  <c r="P164" i="4" s="1"/>
  <c r="P166" i="4" s="1"/>
  <c r="Q395" i="4"/>
  <c r="P54" i="4" l="1"/>
  <c r="P167" i="4"/>
  <c r="M221" i="4"/>
  <c r="M223" i="4" s="1"/>
  <c r="M177" i="4" s="1"/>
  <c r="M181" i="4" s="1"/>
  <c r="M197" i="4" s="1"/>
  <c r="M5" i="4" s="1"/>
  <c r="N220" i="4"/>
  <c r="M78" i="4"/>
  <c r="N36" i="4"/>
  <c r="N41" i="4" s="1"/>
  <c r="N43" i="4" s="1"/>
  <c r="O204" i="4"/>
  <c r="N61" i="4"/>
  <c r="N65" i="4" s="1"/>
  <c r="N78" i="4" s="1"/>
  <c r="N208" i="4"/>
  <c r="N215" i="4" s="1"/>
  <c r="L43" i="4"/>
  <c r="R395" i="4"/>
  <c r="Q396" i="4"/>
  <c r="S395" i="4"/>
  <c r="K51" i="4"/>
  <c r="K80" i="4" s="1"/>
  <c r="J3" i="4"/>
  <c r="K4" i="4"/>
  <c r="L11" i="4"/>
  <c r="R396" i="4" l="1"/>
  <c r="Q397" i="4"/>
  <c r="L45" i="4"/>
  <c r="M11" i="4" s="1"/>
  <c r="M45" i="4" s="1"/>
  <c r="S396" i="4"/>
  <c r="S397" i="4" s="1"/>
  <c r="T395" i="4"/>
  <c r="O61" i="4"/>
  <c r="O65" i="4" s="1"/>
  <c r="O36" i="4"/>
  <c r="O41" i="4" s="1"/>
  <c r="P204" i="4"/>
  <c r="O208" i="4"/>
  <c r="O215" i="4" s="1"/>
  <c r="N221" i="4"/>
  <c r="N223" i="4" s="1"/>
  <c r="N177" i="4" s="1"/>
  <c r="N181" i="4" s="1"/>
  <c r="N197" i="4" s="1"/>
  <c r="N5" i="4" s="1"/>
  <c r="O220" i="4"/>
  <c r="K3" i="4"/>
  <c r="L51" i="4"/>
  <c r="L80" i="4" s="1"/>
  <c r="Q164" i="4" l="1"/>
  <c r="R397" i="4"/>
  <c r="S164" i="4"/>
  <c r="L4" i="4"/>
  <c r="O221" i="4"/>
  <c r="O223" i="4" s="1"/>
  <c r="O177" i="4" s="1"/>
  <c r="O181" i="4" s="1"/>
  <c r="O197" i="4" s="1"/>
  <c r="O5" i="4" s="1"/>
  <c r="P220" i="4"/>
  <c r="O78" i="4"/>
  <c r="L3" i="4"/>
  <c r="M51" i="4"/>
  <c r="M80" i="4" s="1"/>
  <c r="T396" i="4"/>
  <c r="T397" i="4" s="1"/>
  <c r="T164" i="4" s="1"/>
  <c r="T166" i="4" s="1"/>
  <c r="U395" i="4"/>
  <c r="P36" i="4"/>
  <c r="P41" i="4" s="1"/>
  <c r="P43" i="4" s="1"/>
  <c r="Q204" i="4"/>
  <c r="P61" i="4"/>
  <c r="P65" i="4" s="1"/>
  <c r="P78" i="4" s="1"/>
  <c r="P208" i="4"/>
  <c r="P215" i="4" s="1"/>
  <c r="M4" i="4"/>
  <c r="N11" i="4"/>
  <c r="N45" i="4" s="1"/>
  <c r="O43" i="4"/>
  <c r="Q166" i="4" l="1"/>
  <c r="Q220" i="4" s="1"/>
  <c r="R164" i="4"/>
  <c r="C31" i="6" s="1"/>
  <c r="C33" i="6" s="1"/>
  <c r="S204" i="4"/>
  <c r="S61" i="4" s="1"/>
  <c r="S166" i="4"/>
  <c r="T167" i="4"/>
  <c r="T54" i="4"/>
  <c r="U396" i="4"/>
  <c r="U397" i="4" s="1"/>
  <c r="U164" i="4" s="1"/>
  <c r="U166" i="4" s="1"/>
  <c r="V395" i="4"/>
  <c r="O11" i="4"/>
  <c r="O45" i="4" s="1"/>
  <c r="N4" i="4"/>
  <c r="Q61" i="4"/>
  <c r="Q36" i="4"/>
  <c r="R204" i="4"/>
  <c r="Q208" i="4"/>
  <c r="M3" i="4"/>
  <c r="N51" i="4"/>
  <c r="N80" i="4" s="1"/>
  <c r="P221" i="4"/>
  <c r="P223" i="4" s="1"/>
  <c r="P177" i="4" s="1"/>
  <c r="P181" i="4" s="1"/>
  <c r="P197" i="4" s="1"/>
  <c r="P5" i="4" s="1"/>
  <c r="D18" i="19" l="1"/>
  <c r="D19" i="19" s="1"/>
  <c r="C34" i="6"/>
  <c r="Q54" i="4"/>
  <c r="R54" i="4" s="1"/>
  <c r="C85" i="6" s="1"/>
  <c r="C4" i="6" s="1"/>
  <c r="Q167" i="4"/>
  <c r="R166" i="4"/>
  <c r="R167" i="4" s="1"/>
  <c r="U167" i="4"/>
  <c r="U54" i="4"/>
  <c r="S167" i="4"/>
  <c r="S54" i="4"/>
  <c r="S65" i="4" s="1"/>
  <c r="T204" i="4"/>
  <c r="S208" i="4"/>
  <c r="S215" i="4" s="1"/>
  <c r="Q41" i="4"/>
  <c r="R36" i="4"/>
  <c r="V396" i="4"/>
  <c r="V397" i="4" s="1"/>
  <c r="W395" i="4"/>
  <c r="R220" i="4"/>
  <c r="C73" i="6" s="1"/>
  <c r="C74" i="6" s="1"/>
  <c r="Q221" i="4"/>
  <c r="S220" i="4"/>
  <c r="Q65" i="4"/>
  <c r="R61" i="4"/>
  <c r="C92" i="6" s="1"/>
  <c r="Q215" i="4"/>
  <c r="R215" i="4" s="1"/>
  <c r="R208" i="4"/>
  <c r="N3" i="4"/>
  <c r="O51" i="4"/>
  <c r="O80" i="4" s="1"/>
  <c r="C57" i="6"/>
  <c r="C61" i="6" s="1"/>
  <c r="C68" i="6" s="1"/>
  <c r="S36" i="4"/>
  <c r="P11" i="4"/>
  <c r="P45" i="4" s="1"/>
  <c r="O4" i="4"/>
  <c r="C96" i="6" l="1"/>
  <c r="C107" i="6" s="1"/>
  <c r="C109" i="6" s="1"/>
  <c r="V164" i="4"/>
  <c r="T208" i="4"/>
  <c r="T215" i="4" s="1"/>
  <c r="T36" i="4"/>
  <c r="T41" i="4" s="1"/>
  <c r="T43" i="4" s="1"/>
  <c r="T61" i="4"/>
  <c r="U204" i="4"/>
  <c r="P51" i="4"/>
  <c r="P80" i="4" s="1"/>
  <c r="O3" i="4"/>
  <c r="W396" i="4"/>
  <c r="W397" i="4" s="1"/>
  <c r="W164" i="4" s="1"/>
  <c r="W166" i="4" s="1"/>
  <c r="X395" i="4"/>
  <c r="S41" i="4"/>
  <c r="S78" i="4"/>
  <c r="Q11" i="4"/>
  <c r="P4" i="4"/>
  <c r="S221" i="4"/>
  <c r="S223" i="4" s="1"/>
  <c r="S177" i="4" s="1"/>
  <c r="S181" i="4" s="1"/>
  <c r="S197" i="4" s="1"/>
  <c r="S5" i="4" s="1"/>
  <c r="T220" i="4"/>
  <c r="Q78" i="4"/>
  <c r="R78" i="4" s="1"/>
  <c r="R65" i="4"/>
  <c r="Q223" i="4"/>
  <c r="R221" i="4"/>
  <c r="C76" i="6"/>
  <c r="Q43" i="4"/>
  <c r="R41" i="4"/>
  <c r="R43" i="4" s="1"/>
  <c r="U36" i="4" l="1"/>
  <c r="U208" i="4"/>
  <c r="U215" i="4" s="1"/>
  <c r="U61" i="4"/>
  <c r="U65" i="4" s="1"/>
  <c r="U78" i="4" s="1"/>
  <c r="T65" i="4"/>
  <c r="V204" i="4"/>
  <c r="V166" i="4"/>
  <c r="W167" i="4"/>
  <c r="W54" i="4"/>
  <c r="S43" i="4"/>
  <c r="Q177" i="4"/>
  <c r="R223" i="4"/>
  <c r="T221" i="4"/>
  <c r="T223" i="4" s="1"/>
  <c r="T177" i="4" s="1"/>
  <c r="T181" i="4" s="1"/>
  <c r="T197" i="4" s="1"/>
  <c r="T5" i="4" s="1"/>
  <c r="U220" i="4"/>
  <c r="Q45" i="4"/>
  <c r="X396" i="4"/>
  <c r="X397" i="4" s="1"/>
  <c r="X164" i="4" s="1"/>
  <c r="X166" i="4" s="1"/>
  <c r="Y395" i="4"/>
  <c r="Q51" i="4"/>
  <c r="Q80" i="4" s="1"/>
  <c r="P3" i="4"/>
  <c r="V54" i="4" l="1"/>
  <c r="V167" i="4"/>
  <c r="T78" i="4"/>
  <c r="W204" i="4"/>
  <c r="V208" i="4"/>
  <c r="V215" i="4" s="1"/>
  <c r="V61" i="4"/>
  <c r="V36" i="4"/>
  <c r="V41" i="4" s="1"/>
  <c r="V43" i="4" s="1"/>
  <c r="X54" i="4"/>
  <c r="X167" i="4"/>
  <c r="U41" i="4"/>
  <c r="U221" i="4"/>
  <c r="U223" i="4" s="1"/>
  <c r="U177" i="4" s="1"/>
  <c r="U181" i="4" s="1"/>
  <c r="U197" i="4" s="1"/>
  <c r="U5" i="4" s="1"/>
  <c r="V220" i="4"/>
  <c r="Q181" i="4"/>
  <c r="R177" i="4"/>
  <c r="C43" i="6" s="1"/>
  <c r="R80" i="4"/>
  <c r="Q3" i="4"/>
  <c r="S51" i="4"/>
  <c r="Y396" i="4"/>
  <c r="Y397" i="4" s="1"/>
  <c r="Y164" i="4" s="1"/>
  <c r="Z395" i="4"/>
  <c r="R45" i="4"/>
  <c r="Q4" i="4"/>
  <c r="S11" i="4"/>
  <c r="V65" i="4" l="1"/>
  <c r="V78" i="4" s="1"/>
  <c r="Y204" i="4"/>
  <c r="Y166" i="4"/>
  <c r="U43" i="4"/>
  <c r="W208" i="4"/>
  <c r="W215" i="4" s="1"/>
  <c r="X204" i="4"/>
  <c r="W36" i="4"/>
  <c r="W41" i="4" s="1"/>
  <c r="W43" i="4" s="1"/>
  <c r="W61" i="4"/>
  <c r="R3" i="4"/>
  <c r="R4" i="4"/>
  <c r="C45" i="6"/>
  <c r="C51" i="6" s="1"/>
  <c r="C3" i="6" s="1"/>
  <c r="C5" i="6"/>
  <c r="Q197" i="4"/>
  <c r="R181" i="4"/>
  <c r="S45" i="4"/>
  <c r="AE11" i="4"/>
  <c r="AE51" i="4"/>
  <c r="D82" i="6" s="1"/>
  <c r="S80" i="4"/>
  <c r="V221" i="4"/>
  <c r="V223" i="4" s="1"/>
  <c r="W220" i="4"/>
  <c r="Z396" i="4"/>
  <c r="Z397" i="4" s="1"/>
  <c r="Z164" i="4" s="1"/>
  <c r="AA395" i="4"/>
  <c r="V177" i="4" l="1"/>
  <c r="V181" i="4" s="1"/>
  <c r="V197" i="4" s="1"/>
  <c r="V5" i="4" s="1"/>
  <c r="Y208" i="4"/>
  <c r="Y215" i="4" s="1"/>
  <c r="Z204" i="4"/>
  <c r="Y61" i="4"/>
  <c r="Y36" i="4"/>
  <c r="Y41" i="4" s="1"/>
  <c r="Y43" i="4" s="1"/>
  <c r="X208" i="4"/>
  <c r="X215" i="4" s="1"/>
  <c r="X36" i="4"/>
  <c r="X41" i="4" s="1"/>
  <c r="X61" i="4"/>
  <c r="X65" i="4" s="1"/>
  <c r="X78" i="4" s="1"/>
  <c r="Z166" i="4"/>
  <c r="W65" i="4"/>
  <c r="Y167" i="4"/>
  <c r="Y54" i="4"/>
  <c r="AA396" i="4"/>
  <c r="AA397" i="4" s="1"/>
  <c r="AA164" i="4" s="1"/>
  <c r="AA166" i="4" s="1"/>
  <c r="AB395" i="4"/>
  <c r="S3" i="4"/>
  <c r="T51" i="4"/>
  <c r="T80" i="4" s="1"/>
  <c r="R197" i="4"/>
  <c r="R5" i="4" s="1"/>
  <c r="Q5" i="4"/>
  <c r="W221" i="4"/>
  <c r="W223" i="4" s="1"/>
  <c r="W177" i="4" s="1"/>
  <c r="W181" i="4" s="1"/>
  <c r="W197" i="4" s="1"/>
  <c r="W5" i="4" s="1"/>
  <c r="X220" i="4"/>
  <c r="S4" i="4"/>
  <c r="T11" i="4"/>
  <c r="T45" i="4" s="1"/>
  <c r="AA167" i="4" l="1"/>
  <c r="AA54" i="4"/>
  <c r="W78" i="4"/>
  <c r="Y65" i="4"/>
  <c r="Y78" i="4" s="1"/>
  <c r="X43" i="4"/>
  <c r="Z208" i="4"/>
  <c r="Z215" i="4" s="1"/>
  <c r="AA204" i="4"/>
  <c r="Z36" i="4"/>
  <c r="Z41" i="4" s="1"/>
  <c r="Z43" i="4" s="1"/>
  <c r="Z61" i="4"/>
  <c r="Z167" i="4"/>
  <c r="Z54" i="4"/>
  <c r="U51" i="4"/>
  <c r="U80" i="4" s="1"/>
  <c r="T3" i="4"/>
  <c r="T4" i="4"/>
  <c r="U11" i="4"/>
  <c r="U45" i="4" s="1"/>
  <c r="AB396" i="4"/>
  <c r="AB397" i="4" s="1"/>
  <c r="AB164" i="4" s="1"/>
  <c r="AC395" i="4"/>
  <c r="X221" i="4"/>
  <c r="X223" i="4" s="1"/>
  <c r="X177" i="4" s="1"/>
  <c r="X181" i="4" s="1"/>
  <c r="X197" i="4" s="1"/>
  <c r="X5" i="4" s="1"/>
  <c r="Y220" i="4"/>
  <c r="AA36" i="4" l="1"/>
  <c r="AA61" i="4"/>
  <c r="AA65" i="4" s="1"/>
  <c r="AA78" i="4" s="1"/>
  <c r="AA208" i="4"/>
  <c r="AA215" i="4" s="1"/>
  <c r="AB204" i="4"/>
  <c r="AB166" i="4"/>
  <c r="Z65" i="4"/>
  <c r="Z78" i="4" s="1"/>
  <c r="V51" i="4"/>
  <c r="V80" i="4" s="1"/>
  <c r="U3" i="4"/>
  <c r="Y221" i="4"/>
  <c r="Y223" i="4" s="1"/>
  <c r="Y177" i="4" s="1"/>
  <c r="Y181" i="4" s="1"/>
  <c r="Y197" i="4" s="1"/>
  <c r="Y5" i="4" s="1"/>
  <c r="Z220" i="4"/>
  <c r="V11" i="4"/>
  <c r="V45" i="4" s="1"/>
  <c r="U4" i="4"/>
  <c r="AC396" i="4"/>
  <c r="AC397" i="4" s="1"/>
  <c r="AC164" i="4" s="1"/>
  <c r="AC166" i="4" s="1"/>
  <c r="AD395" i="4"/>
  <c r="AB167" i="4" l="1"/>
  <c r="AB54" i="4"/>
  <c r="AC54" i="4"/>
  <c r="AC167" i="4"/>
  <c r="AC204" i="4"/>
  <c r="AB208" i="4"/>
  <c r="AB215" i="4" s="1"/>
  <c r="AB61" i="4"/>
  <c r="AB36" i="4"/>
  <c r="AB41" i="4" s="1"/>
  <c r="AB43" i="4" s="1"/>
  <c r="AA41" i="4"/>
  <c r="AD396" i="4"/>
  <c r="AE395" i="4"/>
  <c r="AF395" i="4" s="1"/>
  <c r="Z221" i="4"/>
  <c r="Z223" i="4" s="1"/>
  <c r="Z177" i="4" s="1"/>
  <c r="Z181" i="4" s="1"/>
  <c r="Z197" i="4" s="1"/>
  <c r="Z5" i="4" s="1"/>
  <c r="AA220" i="4"/>
  <c r="V4" i="4"/>
  <c r="W11" i="4"/>
  <c r="W45" i="4" s="1"/>
  <c r="W51" i="4"/>
  <c r="W80" i="4" s="1"/>
  <c r="V3" i="4"/>
  <c r="AB65" i="4" l="1"/>
  <c r="AB78" i="4" s="1"/>
  <c r="AA43" i="4"/>
  <c r="AC61" i="4"/>
  <c r="AC65" i="4" s="1"/>
  <c r="AC78" i="4" s="1"/>
  <c r="AC36" i="4"/>
  <c r="AC41" i="4" s="1"/>
  <c r="AC43" i="4" s="1"/>
  <c r="AC208" i="4"/>
  <c r="AC215" i="4" s="1"/>
  <c r="AE396" i="4"/>
  <c r="AD397" i="4"/>
  <c r="AA221" i="4"/>
  <c r="AA223" i="4" s="1"/>
  <c r="AA177" i="4" s="1"/>
  <c r="AA181" i="4" s="1"/>
  <c r="AA197" i="4" s="1"/>
  <c r="AA5" i="4" s="1"/>
  <c r="AB220" i="4"/>
  <c r="X51" i="4"/>
  <c r="X80" i="4" s="1"/>
  <c r="W3" i="4"/>
  <c r="AF396" i="4"/>
  <c r="AF397" i="4" s="1"/>
  <c r="AF164" i="4" s="1"/>
  <c r="AG395" i="4"/>
  <c r="W4" i="4"/>
  <c r="X11" i="4"/>
  <c r="X45" i="4" s="1"/>
  <c r="AD164" i="4" l="1"/>
  <c r="AE397" i="4"/>
  <c r="Y11" i="4"/>
  <c r="Y45" i="4" s="1"/>
  <c r="X4" i="4"/>
  <c r="X3" i="4"/>
  <c r="Y51" i="4"/>
  <c r="Y80" i="4" s="1"/>
  <c r="AG396" i="4"/>
  <c r="AG397" i="4" s="1"/>
  <c r="AG164" i="4" s="1"/>
  <c r="AH395" i="4"/>
  <c r="AH396" i="4" s="1"/>
  <c r="AH397" i="4" s="1"/>
  <c r="AH164" i="4" s="1"/>
  <c r="AB221" i="4"/>
  <c r="AB223" i="4" s="1"/>
  <c r="AB177" i="4" s="1"/>
  <c r="AB181" i="4" s="1"/>
  <c r="AB197" i="4" s="1"/>
  <c r="AB5" i="4" s="1"/>
  <c r="AC220" i="4"/>
  <c r="E31" i="6"/>
  <c r="E33" i="6" s="1"/>
  <c r="AF204" i="4"/>
  <c r="AF166" i="4"/>
  <c r="E34" i="6" l="1"/>
  <c r="F18" i="19"/>
  <c r="F19" i="19" s="1"/>
  <c r="AD166" i="4"/>
  <c r="AD220" i="4" s="1"/>
  <c r="AE164" i="4"/>
  <c r="D31" i="6" s="1"/>
  <c r="D33" i="6" s="1"/>
  <c r="AD204" i="4"/>
  <c r="AF54" i="4"/>
  <c r="AF167" i="4"/>
  <c r="E57" i="6"/>
  <c r="E61" i="6" s="1"/>
  <c r="E68" i="6" s="1"/>
  <c r="AF208" i="4"/>
  <c r="AF215" i="4" s="1"/>
  <c r="AH204" i="4"/>
  <c r="G31" i="6"/>
  <c r="G33" i="6" s="1"/>
  <c r="D29" i="21" s="1"/>
  <c r="AH166" i="4"/>
  <c r="AG166" i="4"/>
  <c r="F31" i="6"/>
  <c r="F33" i="6" s="1"/>
  <c r="AG204" i="4"/>
  <c r="AC221" i="4"/>
  <c r="AC223" i="4" s="1"/>
  <c r="AC177" i="4" s="1"/>
  <c r="AC181" i="4" s="1"/>
  <c r="AC197" i="4" s="1"/>
  <c r="AC5" i="4" s="1"/>
  <c r="Z51" i="4"/>
  <c r="Z80" i="4" s="1"/>
  <c r="Y3" i="4"/>
  <c r="Y4" i="4"/>
  <c r="Z11" i="4"/>
  <c r="Z45" i="4" s="1"/>
  <c r="G18" i="19" l="1"/>
  <c r="G19" i="19" s="1"/>
  <c r="D34" i="6"/>
  <c r="E18" i="19"/>
  <c r="E19" i="19" s="1"/>
  <c r="G34" i="6"/>
  <c r="H18" i="19"/>
  <c r="H19" i="19" s="1"/>
  <c r="AD36" i="4"/>
  <c r="AD61" i="4"/>
  <c r="AE204" i="4"/>
  <c r="AD208" i="4"/>
  <c r="AD54" i="4"/>
  <c r="AE54" i="4" s="1"/>
  <c r="D85" i="6" s="1"/>
  <c r="D4" i="6" s="1"/>
  <c r="AD167" i="4"/>
  <c r="AE166" i="4"/>
  <c r="AE167" i="4" s="1"/>
  <c r="AG167" i="4"/>
  <c r="AG54" i="4"/>
  <c r="AD221" i="4"/>
  <c r="AE220" i="4"/>
  <c r="AH36" i="4"/>
  <c r="AH41" i="4" s="1"/>
  <c r="AH43" i="4" s="1"/>
  <c r="G57" i="6"/>
  <c r="G61" i="6" s="1"/>
  <c r="G68" i="6" s="1"/>
  <c r="AH61" i="4"/>
  <c r="G92" i="6" s="1"/>
  <c r="AH208" i="4"/>
  <c r="AH215" i="4" s="1"/>
  <c r="AH167" i="4"/>
  <c r="AH54" i="4"/>
  <c r="AA11" i="4"/>
  <c r="AA45" i="4" s="1"/>
  <c r="Z4" i="4"/>
  <c r="F34" i="6"/>
  <c r="Z3" i="4"/>
  <c r="AA51" i="4"/>
  <c r="AA80" i="4" s="1"/>
  <c r="AG36" i="4"/>
  <c r="AG41" i="4" s="1"/>
  <c r="AG43" i="4" s="1"/>
  <c r="F57" i="6"/>
  <c r="F61" i="6" s="1"/>
  <c r="F68" i="6" s="1"/>
  <c r="AG61" i="4"/>
  <c r="F92" i="6" s="1"/>
  <c r="AG208" i="4"/>
  <c r="AG215" i="4" s="1"/>
  <c r="E85" i="6"/>
  <c r="E4" i="6" s="1"/>
  <c r="AE208" i="4" l="1"/>
  <c r="AD215" i="4"/>
  <c r="AE215" i="4" s="1"/>
  <c r="D57" i="6"/>
  <c r="D61" i="6" s="1"/>
  <c r="D68" i="6" s="1"/>
  <c r="AF36" i="4"/>
  <c r="AF41" i="4" s="1"/>
  <c r="AF43" i="4" s="1"/>
  <c r="AF61" i="4"/>
  <c r="AD65" i="4"/>
  <c r="AE61" i="4"/>
  <c r="D92" i="6" s="1"/>
  <c r="D96" i="6" s="1"/>
  <c r="D107" i="6" s="1"/>
  <c r="D109" i="6" s="1"/>
  <c r="AD41" i="4"/>
  <c r="AE36" i="4"/>
  <c r="AB51" i="4"/>
  <c r="AB80" i="4" s="1"/>
  <c r="AA3" i="4"/>
  <c r="AA4" i="4"/>
  <c r="AB11" i="4"/>
  <c r="AB45" i="4" s="1"/>
  <c r="F85" i="6"/>
  <c r="F4" i="6" s="1"/>
  <c r="AG65" i="4"/>
  <c r="AG78" i="4" s="1"/>
  <c r="G85" i="6"/>
  <c r="G4" i="6" s="1"/>
  <c r="AH65" i="4"/>
  <c r="AH78" i="4" s="1"/>
  <c r="D73" i="6"/>
  <c r="D74" i="6" s="1"/>
  <c r="AF220" i="4"/>
  <c r="AE221" i="4"/>
  <c r="AD223" i="4" l="1"/>
  <c r="AE223" i="4" s="1"/>
  <c r="D76" i="6"/>
  <c r="E92" i="6"/>
  <c r="E96" i="6" s="1"/>
  <c r="E107" i="6" s="1"/>
  <c r="AF65" i="4"/>
  <c r="AF78" i="4" s="1"/>
  <c r="AD43" i="4"/>
  <c r="AE41" i="4"/>
  <c r="AE43" i="4" s="1"/>
  <c r="AD78" i="4"/>
  <c r="AE78" i="4" s="1"/>
  <c r="AE65" i="4"/>
  <c r="AD177" i="4"/>
  <c r="F96" i="6"/>
  <c r="F107" i="6" s="1"/>
  <c r="AF221" i="4"/>
  <c r="AF223" i="4" s="1"/>
  <c r="AF177" i="4" s="1"/>
  <c r="E73" i="6"/>
  <c r="E74" i="6" s="1"/>
  <c r="E76" i="6" s="1"/>
  <c r="AG220" i="4"/>
  <c r="G96" i="6"/>
  <c r="G107" i="6" s="1"/>
  <c r="AB4" i="4"/>
  <c r="AC11" i="4"/>
  <c r="AC45" i="4" s="1"/>
  <c r="AB3" i="4"/>
  <c r="AC51" i="4"/>
  <c r="AC80" i="4" s="1"/>
  <c r="AD51" i="4" l="1"/>
  <c r="AD80" i="4" s="1"/>
  <c r="AC3" i="4"/>
  <c r="F73" i="6"/>
  <c r="F74" i="6" s="1"/>
  <c r="F76" i="6" s="1"/>
  <c r="AG221" i="4"/>
  <c r="AG223" i="4" s="1"/>
  <c r="AG177" i="4" s="1"/>
  <c r="AH220" i="4"/>
  <c r="AC4" i="4"/>
  <c r="AD11" i="4"/>
  <c r="AD45" i="4" s="1"/>
  <c r="AF181" i="4"/>
  <c r="AF197" i="4" s="1"/>
  <c r="AF5" i="4" s="1"/>
  <c r="E43" i="6"/>
  <c r="E45" i="6" s="1"/>
  <c r="E51" i="6" s="1"/>
  <c r="E3" i="6" s="1"/>
  <c r="AE177" i="4"/>
  <c r="D43" i="6" s="1"/>
  <c r="AD181" i="4"/>
  <c r="AG181" i="4" l="1"/>
  <c r="AG197" i="4" s="1"/>
  <c r="AG5" i="4" s="1"/>
  <c r="F43" i="6"/>
  <c r="F45" i="6" s="1"/>
  <c r="F51" i="6" s="1"/>
  <c r="F3" i="6" s="1"/>
  <c r="AD197" i="4"/>
  <c r="AE181" i="4"/>
  <c r="AE45" i="4"/>
  <c r="AD4" i="4"/>
  <c r="D45" i="6"/>
  <c r="D51" i="6" s="1"/>
  <c r="D3" i="6" s="1"/>
  <c r="D5" i="6"/>
  <c r="G73" i="6"/>
  <c r="G74" i="6" s="1"/>
  <c r="G76" i="6" s="1"/>
  <c r="AH221" i="4"/>
  <c r="AH223" i="4" s="1"/>
  <c r="AH177" i="4" s="1"/>
  <c r="AK177" i="4" s="1"/>
  <c r="AE80" i="4"/>
  <c r="AD3" i="4"/>
  <c r="AF51" i="4" l="1"/>
  <c r="AE3" i="4"/>
  <c r="AE197" i="4"/>
  <c r="AE5" i="4" s="1"/>
  <c r="AD5" i="4"/>
  <c r="AH181" i="4"/>
  <c r="AH197" i="4" s="1"/>
  <c r="AH5" i="4" s="1"/>
  <c r="G43" i="6"/>
  <c r="G45" i="6" s="1"/>
  <c r="G51" i="6" s="1"/>
  <c r="G3" i="6" s="1"/>
  <c r="AF11" i="4"/>
  <c r="AF45" i="4" s="1"/>
  <c r="AE4" i="4"/>
  <c r="AG11" i="4" l="1"/>
  <c r="AG45" i="4" s="1"/>
  <c r="AF4" i="4"/>
  <c r="AF80" i="4"/>
  <c r="E82" i="6"/>
  <c r="E109" i="6" s="1"/>
  <c r="E5" i="6" s="1"/>
  <c r="AG4" i="4" l="1"/>
  <c r="AH11" i="4"/>
  <c r="AH45" i="4" s="1"/>
  <c r="AG51" i="4"/>
  <c r="AF3" i="4"/>
  <c r="AH4" i="4" l="1"/>
  <c r="AK4" i="4" s="1"/>
  <c r="AK45" i="4"/>
  <c r="AG80" i="4"/>
  <c r="F82" i="6"/>
  <c r="F109" i="6" s="1"/>
  <c r="F5" i="6" s="1"/>
  <c r="AH51" i="4" l="1"/>
  <c r="AG3" i="4"/>
  <c r="G82" i="6" l="1"/>
  <c r="G109" i="6" s="1"/>
  <c r="G5" i="6" s="1"/>
  <c r="AH80" i="4"/>
  <c r="AH3" i="4" s="1"/>
  <c r="D1" i="15" l="1"/>
  <c r="D2" i="15"/>
  <c r="E16" i="21" l="1"/>
  <c r="F16" i="21" s="1"/>
  <c r="F17" i="21"/>
  <c r="F27" i="21" l="1"/>
  <c r="D32" i="21" s="1"/>
  <c r="F28" i="21" l="1"/>
  <c r="F29" i="21" s="1"/>
  <c r="E29" i="21" s="1"/>
  <c r="D33" i="21"/>
  <c r="D41" i="21" s="1"/>
  <c r="F41" i="21" s="1"/>
  <c r="G33" i="21" s="1"/>
  <c r="J38" i="21"/>
  <c r="G32" i="21" s="1"/>
  <c r="F32" i="21"/>
  <c r="D34" i="21"/>
  <c r="D35" i="21" l="1"/>
  <c r="F33" i="21"/>
  <c r="E28" i="21"/>
  <c r="F34" i="21"/>
  <c r="G41" i="21"/>
  <c r="I41" i="21" s="1"/>
  <c r="G34" i="21" s="1"/>
</calcChain>
</file>

<file path=xl/sharedStrings.xml><?xml version="1.0" encoding="utf-8"?>
<sst xmlns="http://schemas.openxmlformats.org/spreadsheetml/2006/main" count="1442" uniqueCount="538">
  <si>
    <t>1)</t>
  </si>
  <si>
    <t>2)</t>
  </si>
  <si>
    <t>3)</t>
  </si>
  <si>
    <t>4)</t>
  </si>
  <si>
    <t>SALES PROJECTIONS</t>
  </si>
  <si>
    <t>EQUIPMENT PURCHASES</t>
  </si>
  <si>
    <t>RENT &amp; TAXES</t>
  </si>
  <si>
    <t>FINANCING ACTIVITIES</t>
  </si>
  <si>
    <t>Financial Model: Instructions</t>
  </si>
  <si>
    <t>ENTERING INFORMATION INTO THE MODEL: The DETAIL Worksheet.</t>
  </si>
  <si>
    <t>Inputs are shaded yellow and appear blue when entered.</t>
  </si>
  <si>
    <t>At the top of the worksheet are three check lines.  Values in each of these cells should always equal zero.</t>
  </si>
  <si>
    <t>VIEWING THE RESULTS: The Assumptions Page, Summary Statements, and Revenue Growth and Breakeven Charts.</t>
  </si>
  <si>
    <t>Click on the Assumptions tab to view all inputs and underlying assumptions for the financial model.</t>
  </si>
  <si>
    <t>Click on the Summary Statements tab to view the annual Income Statement, Balance Sheet, and Statement of Sources &amp; Uses for each of the five years projected.</t>
  </si>
  <si>
    <t>CUSTOMIZING THE FINANCIAL MODEL</t>
  </si>
  <si>
    <t>PRINTING THE FINANCIAL STATEMENTS</t>
  </si>
  <si>
    <t>To print the entire model, choose Print from the FILE menu and select "Entire Workbook".  Click OK.</t>
  </si>
  <si>
    <t>To print an individual worksheet (such as the Assumptions sheet only) click on the tab of the sheet you would like to print, choose Print from the FILE menu, and select "Selected Sheet".  Click OK.</t>
  </si>
  <si>
    <t>Financial Model: Assumptions</t>
  </si>
  <si>
    <t>LABELS</t>
  </si>
  <si>
    <t>Company name to be used on all statements.................................................................................................................................................................................................................</t>
  </si>
  <si>
    <t>Date projections first begin...............................................................................................................................................................................................................................</t>
  </si>
  <si>
    <t>Name of 1st product line.....................................................................................................................................................................................................................................</t>
  </si>
  <si>
    <t>Name of 2nd product line.....................................................................................................................................................................................................................................</t>
  </si>
  <si>
    <t>Name of 3rd product line.....................................................................................................................................................................................................................................</t>
  </si>
  <si>
    <t>Name of 4th product line.....................................................................................................................................................................................................................................</t>
  </si>
  <si>
    <t>Name of 1st department..................................................................................................................................................................................................................................</t>
  </si>
  <si>
    <t>Name of 2nd department..................................................................................................................................................................................................................................</t>
  </si>
  <si>
    <t>Sales &amp; Marketing</t>
  </si>
  <si>
    <t>Name of 3rd department..................................................................................................................................................................................................................................</t>
  </si>
  <si>
    <t>Administration</t>
  </si>
  <si>
    <t>SALES</t>
  </si>
  <si>
    <t>UNITS SALES</t>
  </si>
  <si>
    <t>AVERAGE FEES PER UNIT</t>
  </si>
  <si>
    <t>BALANCE SHEET</t>
  </si>
  <si>
    <t>Accounts Receivable (adjustable up to 360 days)................................................................................................................................................................................................................</t>
  </si>
  <si>
    <t>(in days)................................................................................................................................................................................................................</t>
  </si>
  <si>
    <t>Accounts Payable (fixed at 30 days).....................................................................................................................................................................................................................</t>
  </si>
  <si>
    <t>(in days).....................................................................................................................................................................................................................</t>
  </si>
  <si>
    <t>Salaries Payable (fixed at 15 days)............................................................................................................................................................................................................................</t>
  </si>
  <si>
    <t>(in days)............................................................................................................................................................................................................................</t>
  </si>
  <si>
    <t>Taxes Payable (fixed at 90 days).............................................................................................................................................................................................................................</t>
  </si>
  <si>
    <t>(in days).............................................................................................................................................................................................................................</t>
  </si>
  <si>
    <t>Available Credit Line.........................................................................................................................................................................................................................................</t>
  </si>
  <si>
    <t>(as a percentage of net accounts receivable)................................................................................................................................................................................................</t>
  </si>
  <si>
    <t>Maximum Credit Line Used.....................................................................................................................................................................................................................................</t>
  </si>
  <si>
    <t>(amount borrowed not to exceed)...................................................................................................................................................................................................</t>
  </si>
  <si>
    <t>Capital Equipment Lease Term (1 year minimum)..............................................................................................................................................................................................................</t>
  </si>
  <si>
    <t>(in years)..............................................................................................................................................................................................................</t>
  </si>
  <si>
    <t>Long Term Borrowings Term (1 year minimum)..............................................................................................................................................................................................................</t>
  </si>
  <si>
    <t>DEPRECIATION</t>
  </si>
  <si>
    <t>Hardware</t>
  </si>
  <si>
    <t>Software</t>
  </si>
  <si>
    <t>Furn &amp; Fixtures</t>
  </si>
  <si>
    <t>EXPENSES</t>
  </si>
  <si>
    <t>HEADCOUNT</t>
  </si>
  <si>
    <t>TOTAL</t>
  </si>
  <si>
    <t>PER PERSON EXPENSES</t>
  </si>
  <si>
    <t>Supplies</t>
  </si>
  <si>
    <t>Travel &amp; Meals</t>
  </si>
  <si>
    <t>Phone/Postage</t>
  </si>
  <si>
    <t>Benefits &amp; Taxes.......................................................................................................................................................................................</t>
  </si>
  <si>
    <t>(as a percentage of salaries).......................................................................................................................................................................................</t>
  </si>
  <si>
    <t>Salary Increases..................................................................................................................................................................................................</t>
  </si>
  <si>
    <t>(as an annual percentage)..................................................................................................................................................................................................</t>
  </si>
  <si>
    <t>Sales Commissions.....................................................................................................................................................................................................</t>
  </si>
  <si>
    <t>(as a percentage of sales).....................................................................................................................................................................................................</t>
  </si>
  <si>
    <t>Total Sales Through Commissions...................................................................................................................................................</t>
  </si>
  <si>
    <t>(as a percentage of total revenue)...................................................................................................................................................</t>
  </si>
  <si>
    <t>Business Insurance..................................................................................................................................................................................................</t>
  </si>
  <si>
    <t>(as a percentage of total revenue)...................................................................................................................................................................................................</t>
  </si>
  <si>
    <t>Anticipated Bad Debt...................................................................................................................................................................................................</t>
  </si>
  <si>
    <t>(as a percentage of collections)........................................................................................................................................................................................................</t>
  </si>
  <si>
    <t>Interest Revenue...........................................................................................................................................................................................................................</t>
  </si>
  <si>
    <t>(as a percentage of cash balance).......................................................................................................................................................................................................</t>
  </si>
  <si>
    <t>Interest Expense On Credit Line....................................................................................................................................................................................................</t>
  </si>
  <si>
    <t>(as a percentage of outstanding balance)......................................................................................................................................................................................................</t>
  </si>
  <si>
    <t>Interest Expense On Capital Equipment Lease....................................................................................................................................................................................................</t>
  </si>
  <si>
    <t>Interest Expense On Long Term Borrowings....................................................................................................................................................................................................</t>
  </si>
  <si>
    <t>Combined Federal &amp; State Tax Rate.................................................................................................................................................................................</t>
  </si>
  <si>
    <t>(as a percentage of positive cumulative income)...................................................................................................................................................</t>
  </si>
  <si>
    <t>Office Rent................................................................................................................................................................................................................</t>
  </si>
  <si>
    <t>(per square foot).......................................................................................................................................................................................................</t>
  </si>
  <si>
    <t>Minimum Office Space......................................................................................................................................................................................................................</t>
  </si>
  <si>
    <t>(square footage per person).......................................................................................................................................................................................................</t>
  </si>
  <si>
    <t>Term of Office Lease......................................................................................................................................................................................................................</t>
  </si>
  <si>
    <t>(in months).......................................................................................................................................................................................................</t>
  </si>
  <si>
    <t>Utilities Expense...........................................................................................................................................................................................................</t>
  </si>
  <si>
    <t>Maintanence Expense................................................................................................................................................................................................</t>
  </si>
  <si>
    <t>*</t>
  </si>
  <si>
    <t>Expenses for advertising, trade shows, and collateral are budgeted as indicated in the DETAIL worksheet.</t>
  </si>
  <si>
    <t>Consultants, Contractors, &amp; Professional Services are employed at market rates and are indicated as needed (see DETAIL worksheet).</t>
  </si>
  <si>
    <t>Salaries are based on competitive compensation (see DETAIL for individual salaries).</t>
  </si>
  <si>
    <t>Bonuses and other incentives are paid out as indicated in the income statement.</t>
  </si>
  <si>
    <t>A/P, S/P, T/P, existing Inventory, Assets, Accumulated Depreciation, and existing balances on Capital Equipment Lease and Long Term Borrowings are fixed.</t>
  </si>
  <si>
    <t>Cash is the amount remaining after all revenue, expenses, the purchase of assets and the financing of these decisions has been accounted for.</t>
  </si>
  <si>
    <t>The Company begins with no inventory; additions to inventory are calculated based on the anticipated cost of future sales for the specified period.</t>
  </si>
  <si>
    <t>Fixed assets include computer hardware, computer software, and furniture and fixtures.  Equipment purchases are tied to projected staffing plans.</t>
  </si>
  <si>
    <t>Company is assumed to maximize the full amount of credit available up to the specified maximum.</t>
  </si>
  <si>
    <t>Capital Equipment is purchased on lease as indicated in the DETAIL worksheet.</t>
  </si>
  <si>
    <t>Additions &amp; Payments to Long Term Borrowings are made as indicated in the DETAIL worksheet.</t>
  </si>
  <si>
    <t>Equity Financing is anticipated as indicated in the DETAIL worksheet.</t>
  </si>
  <si>
    <t>Assumptions in</t>
  </si>
  <si>
    <t>Enter existing</t>
  </si>
  <si>
    <t>Sources &amp; Uses Check</t>
  </si>
  <si>
    <t>gray cells are entered</t>
  </si>
  <si>
    <t>or year-to-date</t>
  </si>
  <si>
    <t>Rec. &amp; Disb. Check</t>
  </si>
  <si>
    <t>into and refer to the</t>
  </si>
  <si>
    <t>entries in this</t>
  </si>
  <si>
    <t>Balance Sheet Check</t>
  </si>
  <si>
    <t>"Assumptions" page.</t>
  </si>
  <si>
    <t>column.</t>
  </si>
  <si>
    <t>RECEIPTS &amp; DISBURSEMENTS</t>
  </si>
  <si>
    <t>Month 1</t>
  </si>
  <si>
    <t>Month 2</t>
  </si>
  <si>
    <t>Month 3</t>
  </si>
  <si>
    <t>Month 4</t>
  </si>
  <si>
    <t>Month 5</t>
  </si>
  <si>
    <t>Month 6</t>
  </si>
  <si>
    <t>Month 7</t>
  </si>
  <si>
    <t>Month 8</t>
  </si>
  <si>
    <t>Month 9</t>
  </si>
  <si>
    <t>Month 10</t>
  </si>
  <si>
    <t>Month 11</t>
  </si>
  <si>
    <t>Month 12</t>
  </si>
  <si>
    <t>Total</t>
  </si>
  <si>
    <t>Month 13</t>
  </si>
  <si>
    <t>Month 14</t>
  </si>
  <si>
    <t>Month 15</t>
  </si>
  <si>
    <t>Month 16</t>
  </si>
  <si>
    <t>Month 17</t>
  </si>
  <si>
    <t>Month 18</t>
  </si>
  <si>
    <t>Month 19</t>
  </si>
  <si>
    <t>Month 20</t>
  </si>
  <si>
    <t>Month 21</t>
  </si>
  <si>
    <t>Month 22</t>
  </si>
  <si>
    <t>Month 23</t>
  </si>
  <si>
    <t>Month 24</t>
  </si>
  <si>
    <t>BEGINNING CASH</t>
  </si>
  <si>
    <t>Receipts</t>
  </si>
  <si>
    <t>Collections</t>
  </si>
  <si>
    <t>Financings</t>
  </si>
  <si>
    <t>Borrowings</t>
  </si>
  <si>
    <t>Total receipts</t>
  </si>
  <si>
    <t>Disbursements</t>
  </si>
  <si>
    <t>Salaries</t>
  </si>
  <si>
    <t>Benefits &amp; Empl Taxes</t>
  </si>
  <si>
    <t>Incentives/commissions</t>
  </si>
  <si>
    <t>Advertising</t>
  </si>
  <si>
    <t>Promotional Material</t>
  </si>
  <si>
    <t>Trade Shows</t>
  </si>
  <si>
    <t>Supplies/Materials</t>
  </si>
  <si>
    <t>Telephone/Postage</t>
  </si>
  <si>
    <t>Maintenance &amp; Repair</t>
  </si>
  <si>
    <t>Rent</t>
  </si>
  <si>
    <t>Utilities</t>
  </si>
  <si>
    <t>Insurance</t>
  </si>
  <si>
    <t>Consultants</t>
  </si>
  <si>
    <t>Professional Services</t>
  </si>
  <si>
    <t>Taxes</t>
  </si>
  <si>
    <t>Equipment Purchases</t>
  </si>
  <si>
    <t>Debt Repayments</t>
  </si>
  <si>
    <t>Interest Expense</t>
  </si>
  <si>
    <t>Prior Accounts Payable</t>
  </si>
  <si>
    <t>Total Disbursements</t>
  </si>
  <si>
    <t>Changes in Cash</t>
  </si>
  <si>
    <t>ENDING CASH</t>
  </si>
  <si>
    <t>STATEMENT OF SOURCES AND USES</t>
  </si>
  <si>
    <t>Sources of Cash</t>
  </si>
  <si>
    <t>Net Income</t>
  </si>
  <si>
    <t>Add Depr/Amort</t>
  </si>
  <si>
    <t>Plus Changes In:</t>
  </si>
  <si>
    <t>Additions to Line of Credit</t>
  </si>
  <si>
    <t>Additions to Cap Equip Lease</t>
  </si>
  <si>
    <t>Additions to Long Term Debt</t>
  </si>
  <si>
    <t>Total Sources of Cash</t>
  </si>
  <si>
    <t>Uses of Cash</t>
  </si>
  <si>
    <t>Buyback of Preferred Stock</t>
  </si>
  <si>
    <t>Buyback of Common Stock</t>
  </si>
  <si>
    <t>Less Changes In:</t>
  </si>
  <si>
    <t>Gross Fixed Assets</t>
  </si>
  <si>
    <t>Reductions to Line of Credit</t>
  </si>
  <si>
    <t>Reductions to Cap Equip Lease</t>
  </si>
  <si>
    <t>Reductions to Long Term Debt</t>
  </si>
  <si>
    <t>Total Uses</t>
  </si>
  <si>
    <t>CHANGES IN CASH</t>
  </si>
  <si>
    <t>INCOME STATEMENT</t>
  </si>
  <si>
    <t>Revenue</t>
  </si>
  <si>
    <t>Total Revenue</t>
  </si>
  <si>
    <t>Operating Expenses</t>
  </si>
  <si>
    <t>Headcount</t>
  </si>
  <si>
    <t>Salary</t>
  </si>
  <si>
    <t>Benefits &amp; Taxes</t>
  </si>
  <si>
    <t>Depreciation</t>
  </si>
  <si>
    <t>Total Expenses</t>
  </si>
  <si>
    <t>% of Sales</t>
  </si>
  <si>
    <t>Incentives/Commissions</t>
  </si>
  <si>
    <t>Adv/Promotion</t>
  </si>
  <si>
    <t>Collateral</t>
  </si>
  <si>
    <t>Total Adv/Promotion</t>
  </si>
  <si>
    <t>Office Supplies</t>
  </si>
  <si>
    <t>Office Rent</t>
  </si>
  <si>
    <t>Maint/Repair</t>
  </si>
  <si>
    <t>Total Operating Exp</t>
  </si>
  <si>
    <t>Income Before Int &amp; Taxes</t>
  </si>
  <si>
    <t>Interest</t>
  </si>
  <si>
    <t>Net Interest Revenue</t>
  </si>
  <si>
    <t>Income Before Taxes</t>
  </si>
  <si>
    <t>Tax Exp</t>
  </si>
  <si>
    <t>Existing</t>
  </si>
  <si>
    <t>ASSETS</t>
  </si>
  <si>
    <t>Current Assets</t>
  </si>
  <si>
    <t>Cash</t>
  </si>
  <si>
    <t>Net Accounts Rec</t>
  </si>
  <si>
    <t>Total Current Assets</t>
  </si>
  <si>
    <t>Computer Hardware</t>
  </si>
  <si>
    <t>Computer Software</t>
  </si>
  <si>
    <t>Furniture &amp; Fixtures</t>
  </si>
  <si>
    <t>Total Gross Fixed Assets</t>
  </si>
  <si>
    <t>Accumulated Depreciation</t>
  </si>
  <si>
    <t>Total Accum Deprec</t>
  </si>
  <si>
    <t>Net Fixed Assets</t>
  </si>
  <si>
    <t>TOTAL ASSETS</t>
  </si>
  <si>
    <t>LIABILITIES</t>
  </si>
  <si>
    <t>Short Term Liabilities</t>
  </si>
  <si>
    <t>Current Portion of Cap Equip Lease</t>
  </si>
  <si>
    <t>Current Portion of Long Term Debt</t>
  </si>
  <si>
    <t>Total ST Liabs</t>
  </si>
  <si>
    <t>Long Term Liabilities</t>
  </si>
  <si>
    <t>Total LT Liabs</t>
  </si>
  <si>
    <t>TOTAL LIABILITIES</t>
  </si>
  <si>
    <t>Equity</t>
  </si>
  <si>
    <t>Preferred Stock</t>
  </si>
  <si>
    <t>Common Stock</t>
  </si>
  <si>
    <t>Retained Earnings</t>
  </si>
  <si>
    <t>Total Equity</t>
  </si>
  <si>
    <t>LIABILITIES &amp; EQUITY</t>
  </si>
  <si>
    <t>Units</t>
  </si>
  <si>
    <t>Total Units</t>
  </si>
  <si>
    <t>Fees Per Unit</t>
  </si>
  <si>
    <t>Total Staff</t>
  </si>
  <si>
    <t>TOTAL EMPLOYEES</t>
  </si>
  <si>
    <t>revenue per employee</t>
  </si>
  <si>
    <t>SALARIES PAID</t>
  </si>
  <si>
    <t>Annual Salary</t>
  </si>
  <si>
    <t>Total Salaries Paid</t>
  </si>
  <si>
    <t>TOTAL SALARIES PAID</t>
  </si>
  <si>
    <t>Benefits &amp; Taxes on Salary</t>
  </si>
  <si>
    <t>Annual Salary Growth Factor</t>
  </si>
  <si>
    <t>CAPITAL PURCHASES</t>
  </si>
  <si>
    <t>Lease (Yes/No)</t>
  </si>
  <si>
    <t>No</t>
  </si>
  <si>
    <t>Total Purchases for Period</t>
  </si>
  <si>
    <t>of which Leased</t>
  </si>
  <si>
    <t>TOTAL PURCHASES FOR PERIOD</t>
  </si>
  <si>
    <t>of which leased</t>
  </si>
  <si>
    <t>Total Depreciation for Period</t>
  </si>
  <si>
    <t>TOTAL DEPRECIATION FOR PERIOD</t>
  </si>
  <si>
    <t>RENT</t>
  </si>
  <si>
    <t>Total Office Square Footage</t>
  </si>
  <si>
    <t>Price per Square Foot</t>
  </si>
  <si>
    <t>TAXES</t>
  </si>
  <si>
    <t>Cumulative Loss</t>
  </si>
  <si>
    <t>Taxable Income</t>
  </si>
  <si>
    <t>DEBT</t>
  </si>
  <si>
    <t>Additions To:</t>
  </si>
  <si>
    <t>Line of Credit</t>
  </si>
  <si>
    <t>Capital Equipment Lease</t>
  </si>
  <si>
    <t>Long Term Borrowings</t>
  </si>
  <si>
    <t>Total Additions</t>
  </si>
  <si>
    <t>Payments To:</t>
  </si>
  <si>
    <t>Total Payments</t>
  </si>
  <si>
    <t>EQUITY</t>
  </si>
  <si>
    <t>Issuance of:</t>
  </si>
  <si>
    <t>Total Equity Investment</t>
  </si>
  <si>
    <t>Buyback of:</t>
  </si>
  <si>
    <t>Total Stock Buyback</t>
  </si>
  <si>
    <t>CHECKS</t>
  </si>
  <si>
    <t>S &amp; U to Income Stmt</t>
  </si>
  <si>
    <t>S &amp; U to Balance Sheet</t>
  </si>
  <si>
    <t>Income Statement ($)</t>
  </si>
  <si>
    <t>Total Operating Expenses</t>
  </si>
  <si>
    <t>Balance Sheet ($)</t>
  </si>
  <si>
    <t>Less Accum Depreciation</t>
  </si>
  <si>
    <t>Total Short Term Liabilities</t>
  </si>
  <si>
    <t>Total Long Term Liabilities</t>
  </si>
  <si>
    <t>Statement of Sources &amp; Uses ($)</t>
  </si>
  <si>
    <t>STAFFING PLAN (HEADCOUNT)</t>
  </si>
  <si>
    <t>Enter all inputs in both the Assumptions worksheet and the Details worksheet.</t>
  </si>
  <si>
    <t>All other cells should not be altered.  Never add a row or column or enter any values in a white cell.  Do not alter the titles of rows.</t>
  </si>
  <si>
    <t>At the top of the Summary Statements sheet are three check lines similar to those in the Detials worksheet.  These should equal zero at all times as well.</t>
  </si>
  <si>
    <t xml:space="preserve">Some data for the Assumptions page is drawn automatically from the Details worksheet. </t>
  </si>
  <si>
    <t>The variable inputs in the Details worksheet are designed to accomodate most business models; any alteration to the financial model will jeopardize the quality of the output.</t>
  </si>
  <si>
    <t>Structural changes to the model, such as additional product lines, extra departments, or embedded sales forecasts, would require modifications of the underlying formulas. Only a person with deep knowledge of excel should make any alterations.</t>
  </si>
  <si>
    <t>The entire Model can be included as an attachment to a business plan.  The Summary Statements can be used within a business plan.</t>
  </si>
  <si>
    <t>Interest and Grant Revenue</t>
  </si>
  <si>
    <t>Grant Revenue</t>
  </si>
  <si>
    <t>Include as earned</t>
  </si>
  <si>
    <t>Auto Allowance</t>
  </si>
  <si>
    <t>Consulting Fees</t>
  </si>
  <si>
    <t>Revenue per Employee</t>
  </si>
  <si>
    <t>Admin</t>
  </si>
  <si>
    <t>Anticipated Bad Debt</t>
  </si>
  <si>
    <t>SBIR Phase I</t>
  </si>
  <si>
    <t>KY Match SBIR I</t>
  </si>
  <si>
    <t>Name of 5th product line.....................................................................................................................................................................................................................................</t>
  </si>
  <si>
    <t>PRODUCT 4</t>
  </si>
  <si>
    <t>PRODUCT 5</t>
  </si>
  <si>
    <t>Engineering</t>
  </si>
  <si>
    <t>Grant 1</t>
  </si>
  <si>
    <t>Grant 2</t>
  </si>
  <si>
    <t>Senior Engineer</t>
  </si>
  <si>
    <t>PR Person</t>
  </si>
  <si>
    <t>Incentives</t>
  </si>
  <si>
    <t xml:space="preserve">Supplies/ Materials </t>
  </si>
  <si>
    <t>COGS</t>
  </si>
  <si>
    <t>PEP STRAW</t>
  </si>
  <si>
    <t>PEP Straw 1</t>
  </si>
  <si>
    <t>PEP Straw 2</t>
  </si>
  <si>
    <t>x</t>
  </si>
  <si>
    <t>PEP Straw 3</t>
  </si>
  <si>
    <t>Units to be produced</t>
  </si>
  <si>
    <t>Production</t>
  </si>
  <si>
    <t>Straw</t>
  </si>
  <si>
    <t>Pellets</t>
  </si>
  <si>
    <t xml:space="preserve">Packaging </t>
  </si>
  <si>
    <t xml:space="preserve">Total Production </t>
  </si>
  <si>
    <t>Handling</t>
  </si>
  <si>
    <t>Delivery</t>
  </si>
  <si>
    <t>Assembly / Delivery</t>
  </si>
  <si>
    <t>$</t>
  </si>
  <si>
    <t>Total Assembly</t>
  </si>
  <si>
    <t>Assembly</t>
  </si>
  <si>
    <t>per #</t>
  </si>
  <si>
    <t xml:space="preserve">Total Distribution </t>
  </si>
  <si>
    <t>Description</t>
  </si>
  <si>
    <t>Mexico</t>
  </si>
  <si>
    <t>Characteristics</t>
  </si>
  <si>
    <t>Automatic</t>
  </si>
  <si>
    <t>Country</t>
  </si>
  <si>
    <t>Cost of Goods Sold</t>
  </si>
  <si>
    <t>Fee</t>
  </si>
  <si>
    <t>%</t>
  </si>
  <si>
    <t>COGS per Unit</t>
  </si>
  <si>
    <t>COGS Total</t>
  </si>
  <si>
    <t>Sales Director 100%</t>
  </si>
  <si>
    <t>R&amp;D Director 100%</t>
  </si>
  <si>
    <t>COO 100%</t>
  </si>
  <si>
    <t>CFO 50%</t>
  </si>
  <si>
    <t>CFO 100%</t>
  </si>
  <si>
    <t>CEO 100%</t>
  </si>
  <si>
    <t>Total COGS</t>
  </si>
  <si>
    <t>Pricing</t>
  </si>
  <si>
    <t>Pricing for Products (wholesale)</t>
  </si>
  <si>
    <t>USA</t>
  </si>
  <si>
    <t>Tier 1</t>
  </si>
  <si>
    <t>Tier 2</t>
  </si>
  <si>
    <t>Formelfehler!</t>
  </si>
  <si>
    <t>Formelfelhler!</t>
  </si>
  <si>
    <t>Sealing</t>
  </si>
  <si>
    <t>Filter</t>
  </si>
  <si>
    <t>for 500kg</t>
  </si>
  <si>
    <t>Amortization</t>
  </si>
  <si>
    <t>Straws/hour</t>
  </si>
  <si>
    <t>Price</t>
  </si>
  <si>
    <t>Qualified estimate, Harro Höfliger Production</t>
  </si>
  <si>
    <t>per month</t>
  </si>
  <si>
    <t>Minimum capacity per month</t>
  </si>
  <si>
    <t>Max. capacity per hour</t>
  </si>
  <si>
    <t>Max. capacity per year</t>
  </si>
  <si>
    <t>Raw material leverage</t>
  </si>
  <si>
    <t>Assembly margin</t>
  </si>
  <si>
    <t>Production costs</t>
  </si>
  <si>
    <t>Distribution costs</t>
  </si>
  <si>
    <t>Growth Szenario Output</t>
  </si>
  <si>
    <t>Summery Tables</t>
  </si>
  <si>
    <t>Underwriting Business Case</t>
  </si>
  <si>
    <t>Units sold</t>
  </si>
  <si>
    <t>Exp</t>
  </si>
  <si>
    <t>EBITDA</t>
  </si>
  <si>
    <t>$/unit</t>
  </si>
  <si>
    <t>per 10k#</t>
  </si>
  <si>
    <t>High attention on collection</t>
  </si>
  <si>
    <t>1. Large Wholesale Contract</t>
  </si>
  <si>
    <t xml:space="preserve"> Hand assembly</t>
  </si>
  <si>
    <t>Shifts</t>
  </si>
  <si>
    <t>upon request</t>
  </si>
  <si>
    <t>1 Shift</t>
  </si>
  <si>
    <t>2 Shift</t>
  </si>
  <si>
    <t>3 Shift</t>
  </si>
  <si>
    <t>webrestaurants.com, PLA straw</t>
  </si>
  <si>
    <t>Capacity per month</t>
  </si>
  <si>
    <t>Minimum Fee</t>
  </si>
  <si>
    <t>Offer Standard Wholesale Costs, Online Shop, PLA Straw (plastic alternative)</t>
  </si>
  <si>
    <t>Production incl. R&amp;D and Licensing</t>
  </si>
  <si>
    <t>Cost per day</t>
  </si>
  <si>
    <t>Cost/unit</t>
  </si>
  <si>
    <t>Includes Investment and running costs</t>
  </si>
  <si>
    <t>Royalties</t>
  </si>
  <si>
    <t>2. Large Wholesale Contract</t>
  </si>
  <si>
    <t>Sonora</t>
  </si>
  <si>
    <t>Region</t>
  </si>
  <si>
    <t>R&amp;D Budget</t>
  </si>
  <si>
    <t>COGS per unit</t>
  </si>
  <si>
    <t>Offered Standard Wholesale costs</t>
  </si>
  <si>
    <t>Research estimate, Harro Höfliger Production</t>
  </si>
  <si>
    <t>NET INCOME</t>
  </si>
  <si>
    <t xml:space="preserve">Exit Scenario </t>
  </si>
  <si>
    <t xml:space="preserve">Founders </t>
  </si>
  <si>
    <t>CEO 0%</t>
  </si>
  <si>
    <t>Sales Director 0%</t>
  </si>
  <si>
    <t>R&amp;D Director 0%</t>
  </si>
  <si>
    <t>COO 0%</t>
  </si>
  <si>
    <t>EBIT</t>
  </si>
  <si>
    <t>Seed Round</t>
  </si>
  <si>
    <t>Series A</t>
  </si>
  <si>
    <t>Typical Company Capital Structure Pro-Forma</t>
  </si>
  <si>
    <t>INPUT VARIABLES:</t>
  </si>
  <si>
    <t>ROUND</t>
  </si>
  <si>
    <t>Pre Money</t>
  </si>
  <si>
    <t>Invest- ment Amount</t>
  </si>
  <si>
    <t>Post Money</t>
  </si>
  <si>
    <t>Seed</t>
  </si>
  <si>
    <t xml:space="preserve">  </t>
  </si>
  <si>
    <t>Series B</t>
  </si>
  <si>
    <t>Series C</t>
  </si>
  <si>
    <t>Series D</t>
  </si>
  <si>
    <t>IPO</t>
  </si>
  <si>
    <t>Typical Company Capital Structure</t>
  </si>
  <si>
    <t>Seed Funding</t>
  </si>
  <si>
    <t>Series A Round</t>
  </si>
  <si>
    <t>Series B Round</t>
  </si>
  <si>
    <t>Series C Round</t>
  </si>
  <si>
    <t>Series D Round</t>
  </si>
  <si>
    <t>($ Million)</t>
  </si>
  <si>
    <t>$ Value</t>
  </si>
  <si>
    <t>Founder(s )</t>
  </si>
  <si>
    <t>Option Pool</t>
  </si>
  <si>
    <t>Friends and Family</t>
  </si>
  <si>
    <t>-</t>
  </si>
  <si>
    <t>Series A Preferred</t>
  </si>
  <si>
    <t>Series B Preferred</t>
  </si>
  <si>
    <t>Series C Preferred</t>
  </si>
  <si>
    <t>Series D Preferred</t>
  </si>
  <si>
    <t>Pre-Money Valuation</t>
  </si>
  <si>
    <t>Post-Money Valuation</t>
  </si>
  <si>
    <t>.</t>
  </si>
  <si>
    <t>Pre-Money Evaluation</t>
  </si>
  <si>
    <t>Fonders</t>
  </si>
  <si>
    <t>Exit Szenario</t>
  </si>
  <si>
    <t>Strategic Transaction</t>
  </si>
  <si>
    <t>$325.5</t>
  </si>
  <si>
    <t>RXBAR</t>
  </si>
  <si>
    <t>Kellogg</t>
  </si>
  <si>
    <t>Produces and sells protein bars.</t>
  </si>
  <si>
    <t>$600.0</t>
  </si>
  <si>
    <t>6.0x</t>
  </si>
  <si>
    <t>4.5x</t>
  </si>
  <si>
    <t>Produces and supplies plant based food items.</t>
  </si>
  <si>
    <t>Daiya Foods</t>
  </si>
  <si>
    <t>Otsuka Pharmaceutical</t>
  </si>
  <si>
    <t>r</t>
  </si>
  <si>
    <t>Sales LTM</t>
  </si>
  <si>
    <t>EV LTM Revenue</t>
  </si>
  <si>
    <t>Enterprise Value</t>
  </si>
  <si>
    <t>Target Business</t>
  </si>
  <si>
    <t>Acquirer</t>
  </si>
  <si>
    <t>Ann. Date</t>
  </si>
  <si>
    <t>EV LTM
EBITDA</t>
  </si>
  <si>
    <t>Stonyfield Farm</t>
  </si>
  <si>
    <t>Groupe Lactalis</t>
  </si>
  <si>
    <t>Produces and sells organic yogurt</t>
  </si>
  <si>
    <t>$875.0</t>
  </si>
  <si>
    <t>2.4x</t>
  </si>
  <si>
    <t>20.0x</t>
  </si>
  <si>
    <t>Boyd Coffee</t>
  </si>
  <si>
    <t>Farmer Bros.</t>
  </si>
  <si>
    <t>Offers coffees, tea, frozen beverages</t>
  </si>
  <si>
    <t>$58.6</t>
  </si>
  <si>
    <t>0.6x</t>
  </si>
  <si>
    <t>Capstone Food  Beverage MA Coverage Report_Q1 2018_1</t>
  </si>
  <si>
    <t>Red Bull</t>
  </si>
  <si>
    <t>Pot. Acquirer</t>
  </si>
  <si>
    <t>$m</t>
  </si>
  <si>
    <t>Strategic Value</t>
  </si>
  <si>
    <t>EV / LTM</t>
  </si>
  <si>
    <t>ROI</t>
  </si>
  <si>
    <t>Founders</t>
  </si>
  <si>
    <t>Cash-on-Cash</t>
  </si>
  <si>
    <t>IRR</t>
  </si>
  <si>
    <t>Investment Desicions</t>
  </si>
  <si>
    <t>Post-Money Evaluation</t>
  </si>
  <si>
    <t>EXIT</t>
  </si>
  <si>
    <t>PP distr.</t>
  </si>
  <si>
    <t>https://nutritioncapital.com/2018/01/02/ncn-dealflow-database-summary-2017/</t>
  </si>
  <si>
    <t>Cap Inv.</t>
  </si>
  <si>
    <t>Sales Rep/Mkt</t>
  </si>
  <si>
    <t>#m</t>
  </si>
  <si>
    <t>R&amp;D</t>
  </si>
  <si>
    <t>#</t>
  </si>
  <si>
    <t>Ratio</t>
  </si>
  <si>
    <t>LTV Customer</t>
  </si>
  <si>
    <t>Drinking Establishments</t>
  </si>
  <si>
    <t>Nightclubs</t>
  </si>
  <si>
    <t>Unit Ratio</t>
  </si>
  <si>
    <t># p.a.</t>
  </si>
  <si>
    <t>Customers</t>
  </si>
  <si>
    <t># p.w.</t>
  </si>
  <si>
    <t>Cocktail Lounge</t>
  </si>
  <si>
    <t>Tier 3</t>
  </si>
  <si>
    <t>Customer Acquisition Costs</t>
  </si>
  <si>
    <t>Market Served (resp. Tier)</t>
  </si>
  <si>
    <t>$ p.a.</t>
  </si>
  <si>
    <t>Advertising / Revenue</t>
  </si>
  <si>
    <t>Net Margin</t>
  </si>
  <si>
    <t>Gross Margin</t>
  </si>
  <si>
    <t>Cost per hour</t>
  </si>
  <si>
    <t>200mg</t>
  </si>
  <si>
    <t>Bulk of Straws</t>
  </si>
  <si>
    <t>Pellets required per Bulk</t>
  </si>
  <si>
    <t>Pellet price/bulk</t>
  </si>
  <si>
    <t>Straw case</t>
  </si>
  <si>
    <t>Personell per hour</t>
  </si>
  <si>
    <t>Price per unit</t>
  </si>
  <si>
    <t>Pellets per unit</t>
  </si>
  <si>
    <t>Price of pellet bulk</t>
  </si>
  <si>
    <t>RAW Material &amp; Production</t>
  </si>
  <si>
    <t>Threshold (Scaling p.M.)</t>
  </si>
  <si>
    <t xml:space="preserve">Qualified estimate, Datwyler Operations </t>
  </si>
  <si>
    <t>Qualified Estimate 4% product cost, Harro Höfliger Production</t>
  </si>
  <si>
    <t>Research and consulting Schryver International Logistics, FOB m³ at 49$</t>
  </si>
  <si>
    <t>M&amp;A Benchmark
Target</t>
  </si>
  <si>
    <t>Sources</t>
  </si>
  <si>
    <t>EV / Sales LTM</t>
  </si>
  <si>
    <t>India</t>
  </si>
  <si>
    <t>Pune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</si>
</sst>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5" formatCode="&quot;$&quot;#,##0_);\(&quot;$&quot;#,##0\)"/>
    <numFmt numFmtId="6" formatCode="&quot;$&quot;#,##0_);[Red]\(&quot;$&quot;#,##0\)"/>
    <numFmt numFmtId="41" formatCode="_(* #,##0_);_(* \(#,##0\);_(* &quot;-&quot;_);_(@_)"/>
    <numFmt numFmtId="44" formatCode="_(&quot;$&quot;* #,##0.00_);_(&quot;$&quot;* \(#,##0.00\);_(&quot;$&quot;* &quot;-&quot;??_);_(@_)"/>
    <numFmt numFmtId="164" formatCode="0.0%"/>
    <numFmt numFmtId="165" formatCode="yyyy"/>
    <numFmt numFmtId="166" formatCode="mmmm\ d\,\ yyyy"/>
    <numFmt numFmtId="167" formatCode="&quot;$&quot;#,##0\ &quot;per person&quot;"/>
    <numFmt numFmtId="168" formatCode="#,##0\ &quot;years&quot;"/>
    <numFmt numFmtId="169" formatCode="0%\ &quot;of earnings&quot;"/>
    <numFmt numFmtId="170" formatCode="0.0%\ &quot;of revenue&quot;"/>
    <numFmt numFmtId="171" formatCode="0%\ &quot;of salaries&quot;"/>
    <numFmt numFmtId="172" formatCode="0.0%\ &quot;per year&quot;"/>
    <numFmt numFmtId="173" formatCode="&quot;$&quot;#,##0.00\ &quot;per sq ft&quot;"/>
    <numFmt numFmtId="174" formatCode="0%\ &quot;of net AR&quot;"/>
    <numFmt numFmtId="175" formatCode="#,##0\ &quot;days&quot;"/>
    <numFmt numFmtId="176" formatCode="0.0%\ &quot;of sales&quot;"/>
    <numFmt numFmtId="177" formatCode="&quot;$&quot;#,##0\ &quot;max&quot;"/>
    <numFmt numFmtId="178" formatCode="#,##0\ &quot;sq ft min&quot;"/>
    <numFmt numFmtId="179" formatCode="&quot;$&quot;#,##0"/>
    <numFmt numFmtId="180" formatCode="0%\ &quot;of revenue&quot;"/>
    <numFmt numFmtId="181" formatCode="&quot;$&quot;#,##0.00"/>
    <numFmt numFmtId="182" formatCode="0.0%\ &quot;of collect&quot;"/>
    <numFmt numFmtId="183" formatCode="0.0%\ &quot;of balance&quot;"/>
    <numFmt numFmtId="184" formatCode="#,##0\ &quot;sq ft&quot;"/>
    <numFmt numFmtId="185" formatCode="#,##0\ &quot;mos&quot;"/>
    <numFmt numFmtId="186" formatCode="#,##0.0\ _€;\-#,##0.0\ _€"/>
    <numFmt numFmtId="187" formatCode="#,##0.000\ _€;\-#,##0.000\ _€"/>
    <numFmt numFmtId="188" formatCode="#,##0.0000\ _€;\-#,##0.0000\ _€"/>
    <numFmt numFmtId="189" formatCode="#,##0\ &quot;months&quot;"/>
    <numFmt numFmtId="190" formatCode="_(* #,##0.00_);_(* \(#,##0.00\);_(* &quot;-&quot;_);_(@_)"/>
    <numFmt numFmtId="191" formatCode="#,##0;;\-;"/>
    <numFmt numFmtId="192" formatCode="#,##0.00;;\-"/>
    <numFmt numFmtId="193" formatCode="#,##0.000000000000000\ _€;\-#,##0.000000000000000\ _€"/>
    <numFmt numFmtId="194" formatCode="0.00%;;\-;"/>
    <numFmt numFmtId="195" formatCode="&quot;$&quot;#,##0;&quot;$&quot;#,##0"/>
    <numFmt numFmtId="196" formatCode="#,##0.00\ &quot;$/100k&quot;"/>
    <numFmt numFmtId="197" formatCode="#,##0\ &quot;kg/100k&quot;"/>
    <numFmt numFmtId="198" formatCode="#,##0\ _€;#,##0\ _€"/>
    <numFmt numFmtId="199" formatCode="#,##0.0\ _€;\-#,##0.0\ _€;\-;"/>
    <numFmt numFmtId="200" formatCode="#,##0.0\ _€;\-#,##0.0\ _€;\-"/>
    <numFmt numFmtId="201" formatCode="_(&quot;$&quot;* #,##0.00_);_(&quot;$&quot;* \(#,##0.00\);_(&quot;$&quot;* &quot;-&quot;?_);_(@_)"/>
    <numFmt numFmtId="202" formatCode="_(&quot;$&quot;* #,##0.0_);_(&quot;$&quot;* \(#,##0.0\);_(&quot;$&quot;* &quot;-&quot;??_);_(@_)"/>
    <numFmt numFmtId="203" formatCode="_(* #,##0.0_);_(* \(#,##0.0\);_(* &quot;-&quot;?_);_(@_)"/>
    <numFmt numFmtId="204" formatCode="0.0000%"/>
    <numFmt numFmtId="205" formatCode="[$-409]mmm\-yy;@"/>
    <numFmt numFmtId="206" formatCode="yyyy\-mm\-dd;@"/>
    <numFmt numFmtId="207" formatCode="#,##0.0&quot;x&quot;"/>
    <numFmt numFmtId="208" formatCode="#,##0.00&quot;x&quot;;"/>
    <numFmt numFmtId="209" formatCode="#,##0.00\ &quot;$/h&quot;"/>
    <numFmt numFmtId="210" formatCode="#,##0.000\ \$"/>
  </numFmts>
  <fonts count="62">
    <font>
      <sz val="7"/>
      <name val="MS Serif"/>
    </font>
    <font>
      <sz val="10"/>
      <name val="MS Sans Serif"/>
      <family val="2"/>
    </font>
    <font>
      <sz val="10"/>
      <name val="Times New Roman"/>
      <family val="1"/>
    </font>
    <font>
      <sz val="8"/>
      <name val="MS Serif"/>
      <family val="1"/>
    </font>
    <font>
      <b/>
      <i/>
      <sz val="14"/>
      <name val="Times New Roman"/>
      <family val="1"/>
    </font>
    <font>
      <i/>
      <sz val="14"/>
      <name val="Times New Roman"/>
      <family val="1"/>
    </font>
    <font>
      <sz val="14"/>
      <name val="Times New Roman"/>
      <family val="1"/>
    </font>
    <font>
      <b/>
      <i/>
      <sz val="10"/>
      <name val="Times New Roman"/>
      <family val="1"/>
    </font>
    <font>
      <i/>
      <sz val="10"/>
      <name val="Times New Roman"/>
      <family val="1"/>
    </font>
    <font>
      <sz val="10"/>
      <name val="Times New Roman"/>
      <family val="1"/>
    </font>
    <font>
      <sz val="12"/>
      <name val="Times New Roman"/>
      <family val="1"/>
    </font>
    <font>
      <b/>
      <sz val="12"/>
      <name val="Times New Roman"/>
      <family val="1"/>
    </font>
    <font>
      <b/>
      <sz val="10"/>
      <name val="Times New Roman"/>
      <family val="1"/>
    </font>
    <font>
      <sz val="6"/>
      <name val="Times New Roman"/>
      <family val="1"/>
    </font>
    <font>
      <b/>
      <sz val="6"/>
      <name val="Times New Roman"/>
      <family val="1"/>
    </font>
    <font>
      <b/>
      <i/>
      <sz val="12"/>
      <name val="Times New Roman"/>
      <family val="1"/>
    </font>
    <font>
      <i/>
      <sz val="12"/>
      <name val="Times New Roman"/>
      <family val="1"/>
    </font>
    <font>
      <b/>
      <sz val="7"/>
      <name val="MS Serif"/>
      <family val="1"/>
    </font>
    <font>
      <i/>
      <sz val="12"/>
      <color indexed="14"/>
      <name val="Times New Roman"/>
      <family val="1"/>
    </font>
    <font>
      <sz val="6"/>
      <color rgb="FFFF0000"/>
      <name val="Arial"/>
      <family val="2"/>
    </font>
    <font>
      <sz val="6"/>
      <name val="Arial"/>
      <family val="2"/>
    </font>
    <font>
      <i/>
      <sz val="6"/>
      <name val="Arial"/>
      <family val="2"/>
    </font>
    <font>
      <b/>
      <sz val="6"/>
      <name val="Arial"/>
      <family val="2"/>
    </font>
    <font>
      <b/>
      <i/>
      <sz val="6"/>
      <name val="Arial"/>
      <family val="2"/>
    </font>
    <font>
      <sz val="6"/>
      <color indexed="12"/>
      <name val="Arial"/>
      <family val="2"/>
    </font>
    <font>
      <b/>
      <sz val="6"/>
      <color indexed="12"/>
      <name val="Arial"/>
      <family val="2"/>
    </font>
    <font>
      <u/>
      <sz val="6"/>
      <name val="Arial"/>
      <family val="2"/>
    </font>
    <font>
      <sz val="6"/>
      <color indexed="17"/>
      <name val="Arial"/>
      <family val="2"/>
    </font>
    <font>
      <sz val="7"/>
      <name val="Arial"/>
      <family val="2"/>
    </font>
    <font>
      <b/>
      <i/>
      <sz val="14"/>
      <name val="Arial"/>
      <family val="2"/>
    </font>
    <font>
      <b/>
      <sz val="14"/>
      <name val="Arial"/>
      <family val="2"/>
    </font>
    <font>
      <b/>
      <i/>
      <sz val="10"/>
      <name val="Arial"/>
      <family val="2"/>
    </font>
    <font>
      <b/>
      <sz val="10"/>
      <name val="Arial"/>
      <family val="2"/>
    </font>
    <font>
      <sz val="8"/>
      <name val="Arial"/>
      <family val="2"/>
    </font>
    <font>
      <b/>
      <u/>
      <sz val="8"/>
      <name val="Arial"/>
      <family val="2"/>
    </font>
    <font>
      <b/>
      <sz val="8"/>
      <name val="Arial"/>
      <family val="2"/>
    </font>
    <font>
      <sz val="8"/>
      <color indexed="12"/>
      <name val="Arial"/>
      <family val="2"/>
    </font>
    <font>
      <i/>
      <sz val="8"/>
      <name val="Arial"/>
      <family val="2"/>
    </font>
    <font>
      <u/>
      <sz val="8"/>
      <name val="Arial"/>
      <family val="2"/>
    </font>
    <font>
      <b/>
      <sz val="10"/>
      <color rgb="FFFF0000"/>
      <name val="Times New Roman"/>
      <family val="1"/>
    </font>
    <font>
      <sz val="6"/>
      <color theme="1"/>
      <name val="Arial"/>
      <family val="2"/>
    </font>
    <font>
      <b/>
      <i/>
      <sz val="6"/>
      <color theme="0"/>
      <name val="Arial"/>
      <family val="2"/>
    </font>
    <font>
      <sz val="6"/>
      <color theme="0"/>
      <name val="Arial"/>
      <family val="2"/>
    </font>
    <font>
      <b/>
      <sz val="6"/>
      <color theme="0"/>
      <name val="Arial"/>
      <family val="2"/>
    </font>
    <font>
      <sz val="10"/>
      <name val="Arial"/>
      <family val="2"/>
    </font>
    <font>
      <sz val="10"/>
      <color theme="0"/>
      <name val="Arial"/>
      <family val="2"/>
    </font>
    <font>
      <b/>
      <sz val="10"/>
      <color theme="0"/>
      <name val="Arial"/>
      <family val="2"/>
    </font>
    <font>
      <sz val="10"/>
      <color rgb="FFFF0000"/>
      <name val="Arial"/>
      <family val="2"/>
    </font>
    <font>
      <b/>
      <sz val="6"/>
      <color rgb="FFFF0000"/>
      <name val="Arial"/>
      <family val="2"/>
    </font>
    <font>
      <sz val="11"/>
      <color theme="1"/>
      <name val="Calibri"/>
      <family val="2"/>
      <scheme val="minor"/>
    </font>
    <font>
      <b/>
      <i/>
      <sz val="10"/>
      <color rgb="FFFF0000"/>
      <name val="Arial"/>
      <family val="2"/>
    </font>
    <font>
      <b/>
      <sz val="26"/>
      <name val="Arial"/>
      <family val="2"/>
    </font>
    <font>
      <b/>
      <sz val="12"/>
      <name val="Arial"/>
      <family val="2"/>
    </font>
    <font>
      <sz val="12"/>
      <name val="Arial"/>
      <family val="2"/>
    </font>
    <font>
      <sz val="9"/>
      <name val="Arial"/>
      <family val="2"/>
    </font>
    <font>
      <b/>
      <sz val="7"/>
      <color theme="0"/>
      <name val="Arial"/>
      <family val="2"/>
    </font>
    <font>
      <sz val="7"/>
      <color theme="1"/>
      <name val="Arial"/>
      <family val="2"/>
    </font>
    <font>
      <b/>
      <sz val="7"/>
      <name val="Arial"/>
      <family val="2"/>
    </font>
    <font>
      <sz val="10"/>
      <color theme="1"/>
      <name val="Arial"/>
      <family val="2"/>
    </font>
    <font>
      <b/>
      <sz val="6"/>
      <color theme="0"/>
      <name val="DIN Alternate"/>
      <family val="2"/>
    </font>
    <font>
      <sz val="7"/>
      <name val="DIN Alternate"/>
      <family val="2"/>
    </font>
    <font>
      <b/>
      <sz val="7"/>
      <name val="DIN Alternate"/>
      <family val="2"/>
    </font>
  </fonts>
  <fills count="2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1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bgColor indexed="64"/>
      </patternFill>
    </fill>
    <fill>
      <patternFill patternType="solid">
        <fgColor theme="3"/>
        <bgColor indexed="64"/>
      </patternFill>
    </fill>
    <fill>
      <patternFill patternType="solid">
        <fgColor rgb="FFFFFF00"/>
        <bgColor indexed="64"/>
      </patternFill>
    </fill>
    <fill>
      <patternFill patternType="solid">
        <fgColor theme="2" tint="-0.249977111117893"/>
        <bgColor indexed="64"/>
      </patternFill>
    </fill>
    <fill>
      <patternFill patternType="solid">
        <fgColor indexed="47"/>
        <bgColor indexed="64"/>
      </patternFill>
    </fill>
    <fill>
      <patternFill patternType="solid">
        <fgColor theme="9" tint="0.39997558519241921"/>
        <bgColor indexed="64"/>
      </patternFill>
    </fill>
    <fill>
      <patternFill patternType="solid">
        <fgColor rgb="FF99FFCC"/>
        <bgColor indexed="64"/>
      </patternFill>
    </fill>
    <fill>
      <patternFill patternType="solid">
        <fgColor rgb="FFFF99FF"/>
        <bgColor indexed="64"/>
      </patternFill>
    </fill>
    <fill>
      <patternFill patternType="solid">
        <fgColor rgb="FFCC99FF"/>
        <bgColor indexed="64"/>
      </patternFill>
    </fill>
    <fill>
      <patternFill patternType="solid">
        <fgColor indexed="44"/>
        <bgColor indexed="64"/>
      </patternFill>
    </fill>
    <fill>
      <patternFill patternType="solid">
        <fgColor rgb="FF99CCFF"/>
        <bgColor indexed="64"/>
      </patternFill>
    </fill>
    <fill>
      <patternFill patternType="solid">
        <fgColor rgb="FFC5BE97"/>
        <bgColor indexed="64"/>
      </patternFill>
    </fill>
    <fill>
      <patternFill patternType="solid">
        <fgColor indexed="41"/>
        <bgColor indexed="64"/>
      </patternFill>
    </fill>
    <fill>
      <patternFill patternType="solid">
        <fgColor theme="3" tint="0.59999389629810485"/>
        <bgColor indexed="64"/>
      </patternFill>
    </fill>
    <fill>
      <patternFill patternType="solid">
        <fgColor theme="0"/>
        <bgColor indexed="64"/>
      </patternFill>
    </fill>
    <fill>
      <patternFill patternType="solid">
        <fgColor theme="6"/>
        <bgColor indexed="64"/>
      </patternFill>
    </fill>
  </fills>
  <borders count="55">
    <border>
      <left/>
      <right/>
      <top/>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s>
  <cellStyleXfs count="10">
    <xf numFmtId="37" fontId="0" fillId="0" borderId="0"/>
    <xf numFmtId="0" fontId="2" fillId="0" borderId="0"/>
    <xf numFmtId="0" fontId="1" fillId="0" borderId="0"/>
    <xf numFmtId="0" fontId="1" fillId="0" borderId="0"/>
    <xf numFmtId="9" fontId="1" fillId="0" borderId="0" applyFont="0" applyFill="0" applyBorder="0" applyAlignment="0" applyProtection="0"/>
    <xf numFmtId="6" fontId="1" fillId="0" borderId="0" applyFont="0" applyFill="0" applyBorder="0" applyAlignment="0" applyProtection="0"/>
    <xf numFmtId="0" fontId="49" fillId="0" borderId="0"/>
    <xf numFmtId="0" fontId="44" fillId="0" borderId="0"/>
    <xf numFmtId="44" fontId="44" fillId="0" borderId="0" applyFont="0" applyFill="0" applyBorder="0" applyAlignment="0" applyProtection="0"/>
    <xf numFmtId="9" fontId="44" fillId="0" borderId="0" applyFont="0" applyFill="0" applyBorder="0" applyAlignment="0" applyProtection="0"/>
  </cellStyleXfs>
  <cellXfs count="692">
    <xf numFmtId="37" fontId="0" fillId="0" borderId="0" xfId="0"/>
    <xf numFmtId="37" fontId="4" fillId="0" borderId="1" xfId="3" applyNumberFormat="1" applyFont="1" applyFill="1" applyBorder="1" applyAlignment="1" applyProtection="1">
      <alignment horizontal="centerContinuous"/>
    </xf>
    <xf numFmtId="0" fontId="7" fillId="0" borderId="2" xfId="3" applyFont="1" applyFill="1" applyBorder="1" applyAlignment="1" applyProtection="1">
      <alignment horizontal="centerContinuous"/>
    </xf>
    <xf numFmtId="0" fontId="10" fillId="0" borderId="0" xfId="3" applyFont="1" applyAlignment="1" applyProtection="1">
      <alignment horizontal="left"/>
    </xf>
    <xf numFmtId="0" fontId="5" fillId="0" borderId="1" xfId="3" applyFont="1" applyFill="1" applyBorder="1" applyAlignment="1" applyProtection="1">
      <alignment horizontal="centerContinuous" vertical="top"/>
    </xf>
    <xf numFmtId="0" fontId="5" fillId="0" borderId="1" xfId="3" applyFont="1" applyFill="1" applyBorder="1" applyAlignment="1" applyProtection="1">
      <alignment horizontal="centerContinuous" wrapText="1"/>
    </xf>
    <xf numFmtId="0" fontId="6" fillId="0" borderId="1" xfId="3" applyFont="1" applyFill="1" applyBorder="1" applyAlignment="1" applyProtection="1">
      <alignment horizontal="left"/>
    </xf>
    <xf numFmtId="0" fontId="6" fillId="0" borderId="1" xfId="3" applyFont="1" applyFill="1" applyBorder="1" applyAlignment="1" applyProtection="1"/>
    <xf numFmtId="0" fontId="8" fillId="0" borderId="2" xfId="3" applyFont="1" applyFill="1" applyBorder="1" applyAlignment="1" applyProtection="1">
      <alignment horizontal="centerContinuous" vertical="top"/>
    </xf>
    <xf numFmtId="0" fontId="8" fillId="0" borderId="2" xfId="3" applyFont="1" applyFill="1" applyBorder="1" applyAlignment="1" applyProtection="1">
      <alignment horizontal="centerContinuous" wrapText="1"/>
    </xf>
    <xf numFmtId="0" fontId="9" fillId="0" borderId="2" xfId="3" applyFont="1" applyFill="1" applyBorder="1" applyAlignment="1" applyProtection="1">
      <alignment horizontal="left"/>
    </xf>
    <xf numFmtId="0" fontId="9" fillId="0" borderId="2" xfId="3" applyFont="1" applyFill="1" applyBorder="1" applyAlignment="1" applyProtection="1"/>
    <xf numFmtId="0" fontId="11" fillId="0" borderId="0" xfId="3" applyFont="1" applyAlignment="1" applyProtection="1"/>
    <xf numFmtId="0" fontId="10" fillId="0" borderId="0" xfId="3" applyFont="1" applyAlignment="1" applyProtection="1">
      <alignment vertical="top"/>
    </xf>
    <xf numFmtId="0" fontId="10" fillId="0" borderId="0" xfId="3" applyFont="1" applyAlignment="1" applyProtection="1">
      <alignment wrapText="1"/>
    </xf>
    <xf numFmtId="0" fontId="10" fillId="0" borderId="0" xfId="3" applyFont="1" applyAlignment="1" applyProtection="1"/>
    <xf numFmtId="0" fontId="11" fillId="0" borderId="0" xfId="3" applyFont="1" applyAlignment="1" applyProtection="1">
      <alignment vertical="center"/>
    </xf>
    <xf numFmtId="0" fontId="10" fillId="0" borderId="0" xfId="3" applyFont="1" applyAlignment="1" applyProtection="1">
      <alignment vertical="center"/>
    </xf>
    <xf numFmtId="0" fontId="10" fillId="0" borderId="0" xfId="3" applyFont="1" applyAlignment="1" applyProtection="1">
      <alignment horizontal="left" vertical="center"/>
    </xf>
    <xf numFmtId="0" fontId="10" fillId="0" borderId="0" xfId="3" applyFont="1" applyAlignment="1" applyProtection="1">
      <alignment horizontal="right" vertical="top"/>
    </xf>
    <xf numFmtId="37" fontId="10" fillId="0" borderId="0" xfId="3" applyNumberFormat="1" applyFont="1" applyAlignment="1" applyProtection="1">
      <alignment wrapText="1"/>
    </xf>
    <xf numFmtId="37" fontId="13" fillId="0" borderId="9" xfId="0" applyFont="1" applyBorder="1" applyAlignment="1" applyProtection="1">
      <alignment horizontal="center"/>
      <protection hidden="1"/>
    </xf>
    <xf numFmtId="5" fontId="11" fillId="0" borderId="0" xfId="5" applyNumberFormat="1" applyFont="1" applyBorder="1" applyProtection="1"/>
    <xf numFmtId="5" fontId="10" fillId="0" borderId="0" xfId="5" applyNumberFormat="1" applyFont="1" applyBorder="1" applyProtection="1"/>
    <xf numFmtId="165" fontId="11" fillId="0" borderId="0" xfId="5" applyNumberFormat="1" applyFont="1" applyBorder="1" applyAlignment="1" applyProtection="1">
      <alignment horizontal="right"/>
    </xf>
    <xf numFmtId="5" fontId="10" fillId="0" borderId="0" xfId="5" applyNumberFormat="1" applyFont="1" applyProtection="1"/>
    <xf numFmtId="15" fontId="15" fillId="0" borderId="1" xfId="5" applyNumberFormat="1" applyFont="1" applyFill="1" applyBorder="1" applyAlignment="1" applyProtection="1">
      <alignment horizontal="centerContinuous"/>
    </xf>
    <xf numFmtId="5" fontId="16" fillId="0" borderId="1" xfId="5" applyNumberFormat="1" applyFont="1" applyFill="1" applyBorder="1" applyAlignment="1" applyProtection="1">
      <alignment horizontal="centerContinuous"/>
    </xf>
    <xf numFmtId="5" fontId="15" fillId="0" borderId="1" xfId="5" applyNumberFormat="1" applyFont="1" applyFill="1" applyBorder="1" applyAlignment="1" applyProtection="1">
      <alignment horizontal="centerContinuous"/>
    </xf>
    <xf numFmtId="5" fontId="10" fillId="0" borderId="1" xfId="5" applyNumberFormat="1" applyFont="1" applyFill="1" applyBorder="1" applyProtection="1"/>
    <xf numFmtId="5" fontId="15" fillId="0" borderId="2" xfId="5" applyNumberFormat="1" applyFont="1" applyFill="1" applyBorder="1" applyAlignment="1" applyProtection="1">
      <alignment horizontal="centerContinuous"/>
    </xf>
    <xf numFmtId="5" fontId="16" fillId="0" borderId="2" xfId="5" applyNumberFormat="1" applyFont="1" applyFill="1" applyBorder="1" applyAlignment="1" applyProtection="1">
      <alignment horizontal="centerContinuous"/>
    </xf>
    <xf numFmtId="5" fontId="10" fillId="0" borderId="2" xfId="5" applyNumberFormat="1" applyFont="1" applyFill="1" applyBorder="1" applyProtection="1"/>
    <xf numFmtId="5" fontId="11" fillId="0" borderId="0" xfId="5" applyNumberFormat="1" applyFont="1" applyBorder="1" applyAlignment="1" applyProtection="1">
      <alignment horizontal="center"/>
    </xf>
    <xf numFmtId="5" fontId="10" fillId="0" borderId="0" xfId="5" applyNumberFormat="1" applyFont="1" applyBorder="1" applyAlignment="1" applyProtection="1">
      <alignment horizontal="left"/>
    </xf>
    <xf numFmtId="5" fontId="10" fillId="0" borderId="0" xfId="5" applyNumberFormat="1" applyFont="1" applyBorder="1" applyAlignment="1" applyProtection="1">
      <alignment horizontal="center"/>
    </xf>
    <xf numFmtId="0" fontId="11" fillId="0" borderId="0" xfId="5" applyNumberFormat="1" applyFont="1" applyBorder="1" applyAlignment="1" applyProtection="1">
      <alignment horizontal="right"/>
    </xf>
    <xf numFmtId="0" fontId="11" fillId="0" borderId="0" xfId="5" applyNumberFormat="1" applyFont="1" applyAlignment="1" applyProtection="1">
      <alignment horizontal="right"/>
    </xf>
    <xf numFmtId="5" fontId="10" fillId="0" borderId="9" xfId="5" applyNumberFormat="1" applyFont="1" applyBorder="1" applyProtection="1"/>
    <xf numFmtId="5" fontId="11" fillId="0" borderId="0" xfId="5" applyNumberFormat="1" applyFont="1" applyFill="1" applyBorder="1" applyProtection="1"/>
    <xf numFmtId="5" fontId="10" fillId="0" borderId="0" xfId="5" applyNumberFormat="1" applyFont="1" applyFill="1" applyBorder="1" applyAlignment="1" applyProtection="1">
      <alignment horizontal="left"/>
    </xf>
    <xf numFmtId="0" fontId="10" fillId="0" borderId="0" xfId="2" applyFont="1" applyProtection="1"/>
    <xf numFmtId="5" fontId="11" fillId="0" borderId="0" xfId="5" applyNumberFormat="1" applyFont="1" applyBorder="1" applyAlignment="1" applyProtection="1">
      <alignment horizontal="right"/>
    </xf>
    <xf numFmtId="5" fontId="10" fillId="0" borderId="0" xfId="5" applyNumberFormat="1" applyFont="1" applyBorder="1" applyAlignment="1" applyProtection="1">
      <alignment horizontal="right"/>
    </xf>
    <xf numFmtId="5" fontId="10" fillId="0" borderId="0" xfId="5" applyNumberFormat="1" applyFont="1" applyAlignment="1" applyProtection="1">
      <alignment horizontal="right"/>
    </xf>
    <xf numFmtId="5" fontId="11" fillId="0" borderId="0" xfId="5" applyNumberFormat="1" applyFont="1" applyBorder="1" applyAlignment="1" applyProtection="1">
      <alignment horizontal="left"/>
    </xf>
    <xf numFmtId="37" fontId="0" fillId="0" borderId="0" xfId="0" applyAlignment="1">
      <alignment horizontal="right"/>
    </xf>
    <xf numFmtId="9" fontId="18" fillId="0" borderId="0" xfId="4" applyFont="1" applyFill="1" applyBorder="1" applyProtection="1"/>
    <xf numFmtId="37" fontId="0" fillId="0" borderId="16" xfId="0" applyBorder="1" applyAlignment="1">
      <alignment horizontal="right"/>
    </xf>
    <xf numFmtId="37" fontId="17" fillId="0" borderId="0" xfId="0" applyFont="1"/>
    <xf numFmtId="37" fontId="13" fillId="0" borderId="8" xfId="0" applyFont="1" applyBorder="1" applyAlignment="1" applyProtection="1">
      <alignment horizontal="center"/>
      <protection hidden="1"/>
    </xf>
    <xf numFmtId="17" fontId="13" fillId="0" borderId="15" xfId="0" applyNumberFormat="1" applyFont="1" applyBorder="1" applyAlignment="1" applyProtection="1">
      <alignment horizontal="center"/>
      <protection hidden="1"/>
    </xf>
    <xf numFmtId="37" fontId="14" fillId="0" borderId="7" xfId="0" applyFont="1" applyBorder="1" applyAlignment="1" applyProtection="1">
      <alignment horizontal="center"/>
      <protection hidden="1"/>
    </xf>
    <xf numFmtId="37" fontId="17" fillId="0" borderId="16" xfId="0" applyFont="1" applyBorder="1"/>
    <xf numFmtId="37" fontId="0" fillId="2" borderId="0" xfId="0" applyFill="1"/>
    <xf numFmtId="37" fontId="0" fillId="2" borderId="16" xfId="0" applyFill="1" applyBorder="1"/>
    <xf numFmtId="37" fontId="17" fillId="2" borderId="0" xfId="0" applyFont="1" applyFill="1"/>
    <xf numFmtId="37" fontId="17" fillId="2" borderId="16" xfId="0" applyFont="1" applyFill="1" applyBorder="1"/>
    <xf numFmtId="15" fontId="19" fillId="0" borderId="0" xfId="0" applyNumberFormat="1" applyFont="1" applyFill="1" applyBorder="1" applyAlignment="1" applyProtection="1">
      <alignment horizontal="left"/>
      <protection hidden="1"/>
    </xf>
    <xf numFmtId="15" fontId="20" fillId="0" borderId="0" xfId="0" applyNumberFormat="1" applyFont="1" applyFill="1" applyBorder="1" applyAlignment="1" applyProtection="1">
      <alignment horizontal="left"/>
      <protection hidden="1"/>
    </xf>
    <xf numFmtId="37" fontId="21" fillId="0" borderId="0" xfId="0" applyFont="1" applyAlignment="1" applyProtection="1">
      <alignment horizontal="centerContinuous"/>
      <protection hidden="1"/>
    </xf>
    <xf numFmtId="37" fontId="21" fillId="0" borderId="0" xfId="0" applyFont="1" applyAlignment="1" applyProtection="1">
      <alignment horizontal="center"/>
      <protection hidden="1"/>
    </xf>
    <xf numFmtId="17" fontId="20" fillId="0" borderId="0" xfId="0" applyNumberFormat="1" applyFont="1" applyFill="1" applyBorder="1" applyAlignment="1" applyProtection="1">
      <alignment horizontal="center"/>
      <protection hidden="1"/>
    </xf>
    <xf numFmtId="165" fontId="22" fillId="0" borderId="0" xfId="0" applyNumberFormat="1" applyFont="1" applyFill="1" applyBorder="1" applyAlignment="1" applyProtection="1">
      <alignment horizontal="center"/>
      <protection hidden="1"/>
    </xf>
    <xf numFmtId="165" fontId="22" fillId="0" borderId="0" xfId="0" applyNumberFormat="1" applyFont="1" applyFill="1" applyAlignment="1" applyProtection="1">
      <alignment horizontal="center"/>
      <protection hidden="1"/>
    </xf>
    <xf numFmtId="37" fontId="20" fillId="0" borderId="0" xfId="0" applyFont="1" applyFill="1" applyProtection="1">
      <protection hidden="1"/>
    </xf>
    <xf numFmtId="15" fontId="20" fillId="0" borderId="0" xfId="0" applyNumberFormat="1" applyFont="1" applyFill="1" applyBorder="1" applyAlignment="1" applyProtection="1">
      <protection hidden="1"/>
    </xf>
    <xf numFmtId="37" fontId="20" fillId="0" borderId="0" xfId="0" applyFont="1" applyFill="1" applyBorder="1" applyProtection="1">
      <protection hidden="1"/>
    </xf>
    <xf numFmtId="37" fontId="22" fillId="0" borderId="0" xfId="0" applyFont="1" applyFill="1" applyBorder="1" applyProtection="1">
      <protection hidden="1"/>
    </xf>
    <xf numFmtId="37" fontId="20" fillId="0" borderId="0" xfId="0" applyFont="1" applyFill="1" applyBorder="1" applyAlignment="1" applyProtection="1">
      <alignment horizontal="left"/>
      <protection hidden="1"/>
    </xf>
    <xf numFmtId="37" fontId="20" fillId="0" borderId="0" xfId="0" applyFont="1" applyFill="1" applyBorder="1" applyAlignment="1" applyProtection="1">
      <protection hidden="1"/>
    </xf>
    <xf numFmtId="37" fontId="21" fillId="0" borderId="0" xfId="0" applyFont="1" applyFill="1" applyBorder="1" applyAlignment="1" applyProtection="1">
      <alignment horizontal="centerContinuous"/>
      <protection hidden="1"/>
    </xf>
    <xf numFmtId="37" fontId="21" fillId="0" borderId="0" xfId="0" applyFont="1" applyFill="1" applyBorder="1" applyAlignment="1" applyProtection="1">
      <alignment horizontal="center"/>
      <protection hidden="1"/>
    </xf>
    <xf numFmtId="37" fontId="23" fillId="0" borderId="1" xfId="0" applyFont="1" applyFill="1" applyBorder="1" applyAlignment="1" applyProtection="1">
      <alignment horizontal="left"/>
      <protection hidden="1"/>
    </xf>
    <xf numFmtId="37" fontId="20" fillId="0" borderId="1" xfId="0" applyFont="1" applyFill="1" applyBorder="1" applyAlignment="1" applyProtection="1">
      <alignment horizontal="left"/>
      <protection hidden="1"/>
    </xf>
    <xf numFmtId="37" fontId="20" fillId="0" borderId="1" xfId="0" applyFont="1" applyFill="1" applyBorder="1" applyAlignment="1" applyProtection="1">
      <protection hidden="1"/>
    </xf>
    <xf numFmtId="37" fontId="20" fillId="0" borderId="1" xfId="0" applyFont="1" applyFill="1" applyBorder="1" applyAlignment="1" applyProtection="1">
      <alignment horizontal="centerContinuous"/>
      <protection hidden="1"/>
    </xf>
    <xf numFmtId="37" fontId="22" fillId="0" borderId="1" xfId="0" applyFont="1" applyFill="1" applyBorder="1" applyAlignment="1" applyProtection="1">
      <alignment horizontal="centerContinuous"/>
      <protection hidden="1"/>
    </xf>
    <xf numFmtId="37" fontId="23" fillId="0" borderId="2" xfId="0" applyFont="1" applyFill="1" applyBorder="1" applyAlignment="1" applyProtection="1">
      <alignment horizontal="left"/>
      <protection hidden="1"/>
    </xf>
    <xf numFmtId="37" fontId="20" fillId="0" borderId="2" xfId="0" applyFont="1" applyFill="1" applyBorder="1" applyAlignment="1" applyProtection="1">
      <alignment horizontal="left"/>
      <protection hidden="1"/>
    </xf>
    <xf numFmtId="37" fontId="20" fillId="0" borderId="2" xfId="0" applyFont="1" applyFill="1" applyBorder="1" applyAlignment="1" applyProtection="1">
      <protection hidden="1"/>
    </xf>
    <xf numFmtId="37" fontId="20" fillId="0" borderId="2" xfId="0" applyFont="1" applyFill="1" applyBorder="1" applyAlignment="1" applyProtection="1">
      <alignment horizontal="centerContinuous"/>
      <protection hidden="1"/>
    </xf>
    <xf numFmtId="37" fontId="22" fillId="0" borderId="2" xfId="0" applyFont="1" applyFill="1" applyBorder="1" applyAlignment="1" applyProtection="1">
      <alignment horizontal="centerContinuous"/>
      <protection hidden="1"/>
    </xf>
    <xf numFmtId="37" fontId="22" fillId="0" borderId="9" xfId="0" applyFont="1" applyBorder="1" applyAlignment="1" applyProtection="1">
      <alignment horizontal="left"/>
      <protection hidden="1"/>
    </xf>
    <xf numFmtId="15" fontId="20" fillId="0" borderId="9" xfId="0" applyNumberFormat="1" applyFont="1" applyBorder="1" applyAlignment="1" applyProtection="1">
      <alignment horizontal="left"/>
      <protection hidden="1"/>
    </xf>
    <xf numFmtId="37" fontId="20" fillId="0" borderId="9" xfId="0" applyFont="1" applyBorder="1" applyAlignment="1" applyProtection="1">
      <protection hidden="1"/>
    </xf>
    <xf numFmtId="37" fontId="20" fillId="0" borderId="9" xfId="0" applyFont="1" applyBorder="1" applyAlignment="1" applyProtection="1">
      <alignment horizontal="center"/>
      <protection hidden="1"/>
    </xf>
    <xf numFmtId="37" fontId="22" fillId="0" borderId="9" xfId="0" applyFont="1" applyBorder="1" applyAlignment="1" applyProtection="1">
      <alignment horizontal="center"/>
      <protection hidden="1"/>
    </xf>
    <xf numFmtId="37" fontId="20" fillId="0" borderId="0" xfId="0" applyFont="1" applyProtection="1">
      <protection hidden="1"/>
    </xf>
    <xf numFmtId="17" fontId="22" fillId="0" borderId="0" xfId="0" applyNumberFormat="1" applyFont="1" applyBorder="1" applyAlignment="1" applyProtection="1">
      <alignment horizontal="left"/>
      <protection hidden="1"/>
    </xf>
    <xf numFmtId="18" fontId="20" fillId="0" borderId="0" xfId="0" applyNumberFormat="1" applyFont="1" applyBorder="1" applyAlignment="1" applyProtection="1">
      <alignment horizontal="left"/>
      <protection hidden="1"/>
    </xf>
    <xf numFmtId="165" fontId="20" fillId="0" borderId="0" xfId="0" applyNumberFormat="1" applyFont="1" applyBorder="1" applyAlignment="1" applyProtection="1">
      <protection hidden="1"/>
    </xf>
    <xf numFmtId="17" fontId="20" fillId="0" borderId="0" xfId="0" applyNumberFormat="1" applyFont="1" applyBorder="1" applyAlignment="1" applyProtection="1">
      <alignment horizontal="center"/>
      <protection hidden="1"/>
    </xf>
    <xf numFmtId="165" fontId="22" fillId="0" borderId="0" xfId="0" applyNumberFormat="1" applyFont="1" applyBorder="1" applyAlignment="1" applyProtection="1">
      <alignment horizontal="center"/>
      <protection hidden="1"/>
    </xf>
    <xf numFmtId="17" fontId="20" fillId="0" borderId="0" xfId="0" applyNumberFormat="1" applyFont="1" applyBorder="1" applyAlignment="1" applyProtection="1">
      <alignment horizontal="left"/>
      <protection hidden="1"/>
    </xf>
    <xf numFmtId="17" fontId="20" fillId="0" borderId="0" xfId="0" applyNumberFormat="1" applyFont="1" applyBorder="1" applyAlignment="1" applyProtection="1">
      <protection hidden="1"/>
    </xf>
    <xf numFmtId="37" fontId="22" fillId="0" borderId="0" xfId="0" applyFont="1" applyBorder="1" applyAlignment="1" applyProtection="1">
      <alignment horizontal="left"/>
      <protection hidden="1"/>
    </xf>
    <xf numFmtId="37" fontId="20" fillId="0" borderId="0" xfId="0" applyFont="1" applyBorder="1" applyAlignment="1" applyProtection="1">
      <alignment horizontal="left"/>
      <protection hidden="1"/>
    </xf>
    <xf numFmtId="37" fontId="20" fillId="0" borderId="0" xfId="0" applyFont="1" applyBorder="1" applyAlignment="1" applyProtection="1">
      <protection hidden="1"/>
    </xf>
    <xf numFmtId="37" fontId="20" fillId="0" borderId="0" xfId="0" applyFont="1" applyBorder="1" applyProtection="1">
      <protection hidden="1"/>
    </xf>
    <xf numFmtId="37" fontId="22" fillId="0" borderId="0" xfId="0" applyFont="1" applyBorder="1" applyProtection="1">
      <protection hidden="1"/>
    </xf>
    <xf numFmtId="37" fontId="22" fillId="0" borderId="0" xfId="0" applyFont="1" applyProtection="1">
      <protection hidden="1"/>
    </xf>
    <xf numFmtId="37" fontId="20" fillId="0" borderId="9" xfId="0" applyFont="1" applyBorder="1" applyAlignment="1" applyProtection="1">
      <alignment horizontal="left"/>
      <protection hidden="1"/>
    </xf>
    <xf numFmtId="37" fontId="20" fillId="0" borderId="9" xfId="0" applyFont="1" applyBorder="1" applyProtection="1">
      <protection hidden="1"/>
    </xf>
    <xf numFmtId="37" fontId="22" fillId="0" borderId="9" xfId="0" applyFont="1" applyBorder="1" applyProtection="1">
      <protection hidden="1"/>
    </xf>
    <xf numFmtId="37" fontId="20" fillId="0" borderId="1" xfId="0" applyFont="1" applyFill="1" applyBorder="1" applyProtection="1">
      <protection hidden="1"/>
    </xf>
    <xf numFmtId="37" fontId="22" fillId="0" borderId="1" xfId="0" applyFont="1" applyFill="1" applyBorder="1" applyProtection="1">
      <protection hidden="1"/>
    </xf>
    <xf numFmtId="37" fontId="20" fillId="0" borderId="2" xfId="0" applyFont="1" applyFill="1" applyBorder="1" applyProtection="1">
      <protection hidden="1"/>
    </xf>
    <xf numFmtId="37" fontId="22" fillId="0" borderId="2" xfId="0" applyFont="1" applyFill="1" applyBorder="1" applyProtection="1">
      <protection hidden="1"/>
    </xf>
    <xf numFmtId="37" fontId="22" fillId="0" borderId="0" xfId="0" applyFont="1" applyFill="1" applyBorder="1" applyAlignment="1" applyProtection="1">
      <protection hidden="1"/>
    </xf>
    <xf numFmtId="37" fontId="20" fillId="0" borderId="9" xfId="0" applyFont="1" applyFill="1" applyBorder="1" applyProtection="1">
      <protection hidden="1"/>
    </xf>
    <xf numFmtId="37" fontId="20" fillId="4" borderId="0" xfId="0" applyFont="1" applyFill="1" applyBorder="1" applyAlignment="1" applyProtection="1">
      <alignment horizontal="right"/>
      <protection hidden="1"/>
    </xf>
    <xf numFmtId="37" fontId="20" fillId="6" borderId="0" xfId="0" applyFont="1" applyFill="1" applyBorder="1" applyProtection="1">
      <protection hidden="1"/>
    </xf>
    <xf numFmtId="37" fontId="20" fillId="4" borderId="0" xfId="0" applyFont="1" applyFill="1" applyBorder="1" applyProtection="1">
      <protection hidden="1"/>
    </xf>
    <xf numFmtId="37" fontId="20" fillId="2" borderId="0" xfId="0" applyFont="1" applyFill="1" applyBorder="1" applyAlignment="1" applyProtection="1">
      <alignment horizontal="left"/>
      <protection hidden="1"/>
    </xf>
    <xf numFmtId="37" fontId="20" fillId="2" borderId="0" xfId="0" applyFont="1" applyFill="1" applyBorder="1" applyProtection="1">
      <protection locked="0"/>
    </xf>
    <xf numFmtId="37" fontId="22" fillId="0" borderId="0" xfId="0" applyFont="1" applyFill="1" applyBorder="1" applyProtection="1">
      <protection locked="0"/>
    </xf>
    <xf numFmtId="37" fontId="22" fillId="2" borderId="0" xfId="0" applyFont="1" applyFill="1" applyBorder="1" applyProtection="1">
      <protection locked="0"/>
    </xf>
    <xf numFmtId="37" fontId="22" fillId="2" borderId="0" xfId="0" applyFont="1" applyFill="1" applyBorder="1" applyProtection="1">
      <protection hidden="1"/>
    </xf>
    <xf numFmtId="167" fontId="20" fillId="3" borderId="0" xfId="0" applyNumberFormat="1" applyFont="1" applyFill="1" applyBorder="1" applyAlignment="1" applyProtection="1">
      <protection hidden="1"/>
    </xf>
    <xf numFmtId="9" fontId="22" fillId="0" borderId="0" xfId="0" applyNumberFormat="1" applyFont="1" applyBorder="1" applyAlignment="1" applyProtection="1">
      <alignment horizontal="left"/>
      <protection hidden="1"/>
    </xf>
    <xf numFmtId="9" fontId="20" fillId="0" borderId="0" xfId="0" applyNumberFormat="1" applyFont="1" applyBorder="1" applyAlignment="1" applyProtection="1">
      <alignment horizontal="left"/>
      <protection hidden="1"/>
    </xf>
    <xf numFmtId="9" fontId="20" fillId="0" borderId="0" xfId="0" applyNumberFormat="1" applyFont="1" applyBorder="1" applyProtection="1">
      <protection hidden="1"/>
    </xf>
    <xf numFmtId="9" fontId="22" fillId="0" borderId="0" xfId="0" applyNumberFormat="1" applyFont="1" applyBorder="1" applyProtection="1">
      <protection hidden="1"/>
    </xf>
    <xf numFmtId="10" fontId="20" fillId="0" borderId="0" xfId="4" applyNumberFormat="1" applyFont="1" applyBorder="1" applyProtection="1">
      <protection hidden="1"/>
    </xf>
    <xf numFmtId="10" fontId="22" fillId="0" borderId="0" xfId="4" applyNumberFormat="1" applyFont="1" applyBorder="1" applyProtection="1">
      <protection hidden="1"/>
    </xf>
    <xf numFmtId="9" fontId="22" fillId="0" borderId="0" xfId="4" applyFont="1" applyBorder="1" applyProtection="1">
      <protection hidden="1"/>
    </xf>
    <xf numFmtId="176" fontId="20" fillId="3" borderId="0" xfId="0" applyNumberFormat="1" applyFont="1" applyFill="1" applyBorder="1" applyAlignment="1" applyProtection="1">
      <protection hidden="1"/>
    </xf>
    <xf numFmtId="180" fontId="20" fillId="3" borderId="0" xfId="0" applyNumberFormat="1" applyFont="1" applyFill="1" applyBorder="1" applyAlignment="1" applyProtection="1">
      <protection hidden="1"/>
    </xf>
    <xf numFmtId="37" fontId="20" fillId="2" borderId="0" xfId="0" applyFont="1" applyFill="1" applyBorder="1" applyProtection="1">
      <protection hidden="1"/>
    </xf>
    <xf numFmtId="9" fontId="20" fillId="0" borderId="0" xfId="4" applyFont="1" applyBorder="1" applyAlignment="1" applyProtection="1">
      <protection hidden="1"/>
    </xf>
    <xf numFmtId="170" fontId="20" fillId="3" borderId="0" xfId="0" applyNumberFormat="1" applyFont="1" applyFill="1" applyBorder="1" applyAlignment="1" applyProtection="1">
      <protection hidden="1"/>
    </xf>
    <xf numFmtId="182" fontId="20" fillId="3" borderId="0" xfId="0" applyNumberFormat="1" applyFont="1" applyFill="1" applyBorder="1" applyAlignment="1" applyProtection="1">
      <protection hidden="1"/>
    </xf>
    <xf numFmtId="173" fontId="20" fillId="3" borderId="0" xfId="0" applyNumberFormat="1" applyFont="1" applyFill="1" applyBorder="1" applyAlignment="1" applyProtection="1">
      <protection hidden="1"/>
    </xf>
    <xf numFmtId="183" fontId="20" fillId="3" borderId="0" xfId="0" applyNumberFormat="1" applyFont="1" applyFill="1" applyBorder="1" applyAlignment="1" applyProtection="1">
      <protection hidden="1"/>
    </xf>
    <xf numFmtId="37" fontId="20" fillId="7" borderId="0" xfId="0" applyFont="1" applyFill="1" applyBorder="1" applyAlignment="1" applyProtection="1">
      <alignment horizontal="left"/>
      <protection hidden="1"/>
    </xf>
    <xf numFmtId="183" fontId="20" fillId="3" borderId="0" xfId="0" applyNumberFormat="1" applyFont="1" applyFill="1" applyBorder="1" applyAlignment="1" applyProtection="1">
      <alignment horizontal="right"/>
      <protection hidden="1"/>
    </xf>
    <xf numFmtId="37" fontId="20" fillId="0" borderId="0" xfId="0" applyFont="1" applyFill="1" applyBorder="1" applyProtection="1">
      <protection locked="0"/>
    </xf>
    <xf numFmtId="37" fontId="20" fillId="0" borderId="0" xfId="0" applyFont="1" applyAlignment="1" applyProtection="1">
      <alignment horizontal="center"/>
      <protection hidden="1"/>
    </xf>
    <xf numFmtId="37" fontId="20" fillId="2" borderId="0" xfId="0" applyFont="1" applyFill="1" applyBorder="1" applyAlignment="1" applyProtection="1">
      <protection locked="0" hidden="1"/>
    </xf>
    <xf numFmtId="37" fontId="20" fillId="3" borderId="9" xfId="0" applyFont="1" applyFill="1" applyBorder="1" applyAlignment="1" applyProtection="1">
      <protection locked="0" hidden="1"/>
    </xf>
    <xf numFmtId="37" fontId="20" fillId="0" borderId="0" xfId="0" applyFont="1" applyAlignment="1" applyProtection="1">
      <alignment horizontal="left"/>
      <protection hidden="1"/>
    </xf>
    <xf numFmtId="175" fontId="20" fillId="3" borderId="0" xfId="0" applyNumberFormat="1" applyFont="1" applyFill="1" applyBorder="1" applyAlignment="1" applyProtection="1">
      <protection hidden="1"/>
    </xf>
    <xf numFmtId="174" fontId="20" fillId="3" borderId="0" xfId="0" applyNumberFormat="1" applyFont="1" applyFill="1" applyBorder="1" applyAlignment="1" applyProtection="1">
      <protection hidden="1"/>
    </xf>
    <xf numFmtId="177" fontId="20" fillId="3" borderId="0" xfId="0" applyNumberFormat="1" applyFont="1" applyFill="1" applyBorder="1" applyAlignment="1" applyProtection="1">
      <protection hidden="1"/>
    </xf>
    <xf numFmtId="37" fontId="22" fillId="0" borderId="0" xfId="0" applyFont="1" applyFill="1" applyBorder="1" applyAlignment="1" applyProtection="1">
      <alignment horizontal="left"/>
      <protection hidden="1"/>
    </xf>
    <xf numFmtId="168" fontId="20" fillId="3" borderId="0" xfId="0" applyNumberFormat="1" applyFont="1" applyFill="1" applyBorder="1" applyAlignment="1" applyProtection="1">
      <protection hidden="1"/>
    </xf>
    <xf numFmtId="37" fontId="24" fillId="2" borderId="0" xfId="0" applyFont="1" applyFill="1" applyBorder="1" applyAlignment="1" applyProtection="1">
      <protection locked="0" hidden="1"/>
    </xf>
    <xf numFmtId="37" fontId="24" fillId="2" borderId="0" xfId="0" applyFont="1" applyFill="1" applyBorder="1" applyProtection="1">
      <protection locked="0"/>
    </xf>
    <xf numFmtId="37" fontId="25" fillId="2" borderId="0" xfId="0" applyFont="1" applyFill="1" applyBorder="1" applyProtection="1">
      <protection locked="0"/>
    </xf>
    <xf numFmtId="39" fontId="22" fillId="0" borderId="0" xfId="0" applyNumberFormat="1" applyFont="1" applyBorder="1" applyAlignment="1" applyProtection="1">
      <alignment horizontal="left"/>
      <protection hidden="1"/>
    </xf>
    <xf numFmtId="39" fontId="20" fillId="0" borderId="0" xfId="0" applyNumberFormat="1" applyFont="1" applyBorder="1" applyAlignment="1" applyProtection="1">
      <alignment horizontal="left"/>
      <protection hidden="1"/>
    </xf>
    <xf numFmtId="39" fontId="20" fillId="0" borderId="0" xfId="0" applyNumberFormat="1" applyFont="1" applyBorder="1" applyAlignment="1" applyProtection="1">
      <protection hidden="1"/>
    </xf>
    <xf numFmtId="39" fontId="24" fillId="2" borderId="0" xfId="0" applyNumberFormat="1" applyFont="1" applyFill="1" applyBorder="1" applyProtection="1">
      <protection locked="0"/>
    </xf>
    <xf numFmtId="39" fontId="25" fillId="2" borderId="0" xfId="0" applyNumberFormat="1" applyFont="1" applyFill="1" applyBorder="1" applyProtection="1">
      <protection locked="0"/>
    </xf>
    <xf numFmtId="39" fontId="20" fillId="0" borderId="0" xfId="0" applyNumberFormat="1" applyFont="1" applyProtection="1">
      <protection hidden="1"/>
    </xf>
    <xf numFmtId="9" fontId="20" fillId="0" borderId="0" xfId="4" applyFont="1" applyBorder="1" applyProtection="1">
      <protection hidden="1"/>
    </xf>
    <xf numFmtId="37" fontId="20" fillId="0" borderId="0" xfId="0" applyFont="1" applyBorder="1" applyAlignment="1" applyProtection="1">
      <alignment horizontal="right"/>
      <protection hidden="1"/>
    </xf>
    <xf numFmtId="164" fontId="22" fillId="0" borderId="0" xfId="0" applyNumberFormat="1" applyFont="1" applyBorder="1" applyAlignment="1" applyProtection="1">
      <alignment horizontal="left"/>
      <protection hidden="1"/>
    </xf>
    <xf numFmtId="164" fontId="20" fillId="0" borderId="0" xfId="0" applyNumberFormat="1" applyFont="1" applyBorder="1" applyAlignment="1" applyProtection="1">
      <alignment horizontal="left"/>
      <protection hidden="1"/>
    </xf>
    <xf numFmtId="164" fontId="20" fillId="0" borderId="0" xfId="0" applyNumberFormat="1" applyFont="1" applyBorder="1" applyAlignment="1" applyProtection="1">
      <protection hidden="1"/>
    </xf>
    <xf numFmtId="164" fontId="20" fillId="0" borderId="0" xfId="0" applyNumberFormat="1" applyFont="1" applyBorder="1" applyProtection="1">
      <protection hidden="1"/>
    </xf>
    <xf numFmtId="164" fontId="22" fillId="0" borderId="0" xfId="0" applyNumberFormat="1" applyFont="1" applyBorder="1" applyProtection="1">
      <protection hidden="1"/>
    </xf>
    <xf numFmtId="37" fontId="22" fillId="0" borderId="0" xfId="0" applyFont="1" applyFill="1" applyBorder="1" applyAlignment="1" applyProtection="1">
      <alignment horizontal="left"/>
      <protection locked="0"/>
    </xf>
    <xf numFmtId="37" fontId="20" fillId="2" borderId="0" xfId="0" applyFont="1" applyFill="1" applyBorder="1" applyAlignment="1" applyProtection="1">
      <alignment horizontal="left"/>
      <protection locked="0"/>
    </xf>
    <xf numFmtId="37" fontId="20" fillId="5" borderId="3" xfId="0" applyFont="1" applyFill="1" applyBorder="1" applyAlignment="1" applyProtection="1">
      <alignment horizontal="left"/>
      <protection hidden="1"/>
    </xf>
    <xf numFmtId="37" fontId="22" fillId="5" borderId="4" xfId="0" applyFont="1" applyFill="1" applyBorder="1" applyProtection="1">
      <protection hidden="1"/>
    </xf>
    <xf numFmtId="37" fontId="22" fillId="5" borderId="5" xfId="0" applyFont="1" applyFill="1" applyBorder="1" applyProtection="1">
      <protection hidden="1"/>
    </xf>
    <xf numFmtId="37" fontId="22" fillId="5" borderId="6" xfId="0" applyFont="1" applyFill="1" applyBorder="1" applyProtection="1">
      <protection hidden="1"/>
    </xf>
    <xf numFmtId="37" fontId="20" fillId="0" borderId="1" xfId="0" applyFont="1" applyFill="1" applyBorder="1" applyAlignment="1" applyProtection="1">
      <alignment horizontal="center"/>
      <protection hidden="1"/>
    </xf>
    <xf numFmtId="37" fontId="20" fillId="0" borderId="2" xfId="0" applyFont="1" applyFill="1" applyBorder="1" applyAlignment="1" applyProtection="1">
      <alignment horizontal="center"/>
      <protection hidden="1"/>
    </xf>
    <xf numFmtId="37" fontId="20" fillId="0" borderId="0" xfId="0" applyFont="1" applyBorder="1" applyAlignment="1" applyProtection="1">
      <alignment horizontal="center"/>
      <protection hidden="1"/>
    </xf>
    <xf numFmtId="37" fontId="26" fillId="0" borderId="0" xfId="0" applyFont="1" applyFill="1" applyBorder="1" applyAlignment="1" applyProtection="1">
      <alignment horizontal="center"/>
      <protection hidden="1"/>
    </xf>
    <xf numFmtId="179" fontId="24" fillId="2" borderId="18" xfId="0" applyNumberFormat="1" applyFont="1" applyFill="1" applyBorder="1" applyAlignment="1" applyProtection="1">
      <alignment horizontal="center"/>
      <protection locked="0" hidden="1"/>
    </xf>
    <xf numFmtId="37" fontId="27" fillId="0" borderId="9" xfId="0" applyFont="1" applyBorder="1" applyAlignment="1" applyProtection="1">
      <alignment horizontal="center"/>
      <protection hidden="1"/>
    </xf>
    <xf numFmtId="37" fontId="20" fillId="0" borderId="0" xfId="0" applyFont="1"/>
    <xf numFmtId="171" fontId="20" fillId="3" borderId="0" xfId="0" applyNumberFormat="1" applyFont="1" applyFill="1" applyBorder="1" applyAlignment="1" applyProtection="1">
      <protection hidden="1"/>
    </xf>
    <xf numFmtId="9" fontId="20" fillId="0" borderId="0" xfId="0" applyNumberFormat="1" applyFont="1" applyBorder="1" applyAlignment="1" applyProtection="1">
      <alignment horizontal="center"/>
      <protection hidden="1"/>
    </xf>
    <xf numFmtId="172" fontId="20" fillId="3" borderId="0" xfId="0" applyNumberFormat="1" applyFont="1" applyFill="1" applyBorder="1" applyAlignment="1" applyProtection="1">
      <protection hidden="1"/>
    </xf>
    <xf numFmtId="164" fontId="20" fillId="0" borderId="0" xfId="0" applyNumberFormat="1" applyFont="1" applyBorder="1" applyAlignment="1" applyProtection="1">
      <alignment horizontal="center"/>
      <protection hidden="1"/>
    </xf>
    <xf numFmtId="164" fontId="22" fillId="0" borderId="0" xfId="4" applyNumberFormat="1" applyFont="1" applyBorder="1" applyProtection="1">
      <protection hidden="1"/>
    </xf>
    <xf numFmtId="37" fontId="22" fillId="0" borderId="1" xfId="0" applyFont="1" applyFill="1" applyBorder="1" applyAlignment="1" applyProtection="1">
      <protection hidden="1"/>
    </xf>
    <xf numFmtId="37" fontId="22" fillId="0" borderId="2" xfId="0" applyFont="1" applyFill="1" applyBorder="1" applyAlignment="1" applyProtection="1">
      <protection hidden="1"/>
    </xf>
    <xf numFmtId="37" fontId="26" fillId="0" borderId="0" xfId="0" applyNumberFormat="1" applyFont="1" applyFill="1" applyBorder="1" applyAlignment="1" applyProtection="1">
      <alignment horizontal="center"/>
      <protection hidden="1"/>
    </xf>
    <xf numFmtId="179" fontId="24" fillId="2" borderId="18" xfId="0" applyNumberFormat="1" applyFont="1" applyFill="1" applyBorder="1" applyAlignment="1" applyProtection="1">
      <alignment horizontal="center"/>
      <protection locked="0"/>
    </xf>
    <xf numFmtId="37" fontId="20" fillId="0" borderId="9" xfId="0" applyFont="1" applyFill="1" applyBorder="1" applyAlignment="1" applyProtection="1">
      <protection hidden="1"/>
    </xf>
    <xf numFmtId="37" fontId="22" fillId="0" borderId="0" xfId="0" applyNumberFormat="1" applyFont="1" applyBorder="1" applyAlignment="1" applyProtection="1">
      <alignment horizontal="left"/>
      <protection hidden="1"/>
    </xf>
    <xf numFmtId="37" fontId="20" fillId="0" borderId="0" xfId="0" applyNumberFormat="1" applyFont="1" applyBorder="1" applyAlignment="1" applyProtection="1">
      <alignment horizontal="left"/>
      <protection hidden="1"/>
    </xf>
    <xf numFmtId="37" fontId="22" fillId="0" borderId="0" xfId="0" applyFont="1" applyBorder="1" applyAlignment="1" applyProtection="1">
      <protection hidden="1"/>
    </xf>
    <xf numFmtId="17" fontId="22" fillId="0" borderId="9" xfId="0" applyNumberFormat="1" applyFont="1" applyBorder="1" applyAlignment="1" applyProtection="1">
      <alignment horizontal="left"/>
      <protection hidden="1"/>
    </xf>
    <xf numFmtId="178" fontId="20" fillId="3" borderId="0" xfId="0" applyNumberFormat="1" applyFont="1" applyFill="1" applyBorder="1" applyAlignment="1" applyProtection="1">
      <protection hidden="1"/>
    </xf>
    <xf numFmtId="37" fontId="20" fillId="0" borderId="0" xfId="0" applyFont="1" applyAlignment="1" applyProtection="1">
      <protection hidden="1"/>
    </xf>
    <xf numFmtId="39" fontId="20" fillId="0" borderId="0" xfId="0" applyNumberFormat="1" applyFont="1" applyBorder="1" applyProtection="1">
      <protection hidden="1"/>
    </xf>
    <xf numFmtId="39" fontId="22" fillId="0" borderId="0" xfId="0" applyNumberFormat="1" applyFont="1" applyBorder="1" applyProtection="1">
      <protection hidden="1"/>
    </xf>
    <xf numFmtId="37" fontId="28" fillId="0" borderId="0" xfId="0" applyFont="1"/>
    <xf numFmtId="169" fontId="20" fillId="3" borderId="0" xfId="0" applyNumberFormat="1" applyFont="1" applyFill="1" applyBorder="1" applyAlignment="1" applyProtection="1">
      <protection hidden="1"/>
    </xf>
    <xf numFmtId="37" fontId="29" fillId="0" borderId="1" xfId="1" applyNumberFormat="1" applyFont="1" applyFill="1" applyBorder="1" applyAlignment="1" applyProtection="1">
      <alignment horizontal="centerContinuous"/>
      <protection hidden="1"/>
    </xf>
    <xf numFmtId="0" fontId="30" fillId="0" borderId="1" xfId="1" applyFont="1" applyFill="1" applyBorder="1" applyAlignment="1" applyProtection="1">
      <alignment horizontal="centerContinuous"/>
      <protection hidden="1"/>
    </xf>
    <xf numFmtId="0" fontId="29" fillId="0" borderId="1" xfId="1" applyFont="1" applyFill="1" applyBorder="1" applyAlignment="1" applyProtection="1">
      <alignment horizontal="centerContinuous"/>
      <protection hidden="1"/>
    </xf>
    <xf numFmtId="0" fontId="30" fillId="0" borderId="1" xfId="1" applyFont="1" applyFill="1" applyBorder="1" applyProtection="1">
      <protection hidden="1"/>
    </xf>
    <xf numFmtId="0" fontId="31" fillId="0" borderId="2" xfId="1" applyFont="1" applyFill="1" applyBorder="1" applyAlignment="1" applyProtection="1">
      <alignment horizontal="centerContinuous"/>
      <protection hidden="1"/>
    </xf>
    <xf numFmtId="0" fontId="32" fillId="0" borderId="2" xfId="1" applyFont="1" applyFill="1" applyBorder="1" applyAlignment="1" applyProtection="1">
      <alignment horizontal="centerContinuous"/>
      <protection hidden="1"/>
    </xf>
    <xf numFmtId="0" fontId="32" fillId="0" borderId="2" xfId="1" applyFont="1" applyFill="1" applyBorder="1" applyProtection="1">
      <protection hidden="1"/>
    </xf>
    <xf numFmtId="37" fontId="33" fillId="0" borderId="0" xfId="0" applyFont="1" applyProtection="1">
      <protection hidden="1"/>
    </xf>
    <xf numFmtId="0" fontId="33" fillId="0" borderId="0" xfId="1" applyFont="1" applyBorder="1" applyProtection="1">
      <protection hidden="1"/>
    </xf>
    <xf numFmtId="37" fontId="33" fillId="0" borderId="0" xfId="0" applyFont="1" applyAlignment="1" applyProtection="1">
      <alignment horizontal="centerContinuous"/>
      <protection hidden="1"/>
    </xf>
    <xf numFmtId="0" fontId="33" fillId="0" borderId="0" xfId="1" applyFont="1" applyProtection="1">
      <protection hidden="1"/>
    </xf>
    <xf numFmtId="37" fontId="33" fillId="0" borderId="0" xfId="0" applyFont="1" applyBorder="1" applyProtection="1">
      <protection hidden="1"/>
    </xf>
    <xf numFmtId="0" fontId="33" fillId="0" borderId="0" xfId="1" applyFont="1" applyBorder="1" applyAlignment="1" applyProtection="1">
      <alignment horizontal="left"/>
      <protection hidden="1"/>
    </xf>
    <xf numFmtId="0" fontId="34" fillId="0" borderId="0" xfId="1" applyFont="1" applyBorder="1" applyAlignment="1" applyProtection="1">
      <alignment horizontal="centerContinuous"/>
      <protection hidden="1"/>
    </xf>
    <xf numFmtId="0" fontId="33" fillId="0" borderId="0" xfId="1" applyFont="1" applyBorder="1" applyAlignment="1" applyProtection="1">
      <alignment horizontal="centerContinuous"/>
      <protection hidden="1"/>
    </xf>
    <xf numFmtId="0" fontId="33" fillId="0" borderId="0" xfId="1" applyFont="1" applyAlignment="1" applyProtection="1">
      <alignment horizontal="centerContinuous"/>
      <protection hidden="1"/>
    </xf>
    <xf numFmtId="37" fontId="33" fillId="0" borderId="0" xfId="0" applyFont="1" applyBorder="1" applyAlignment="1" applyProtection="1">
      <alignment horizontal="centerContinuous"/>
      <protection hidden="1"/>
    </xf>
    <xf numFmtId="0" fontId="35" fillId="0" borderId="0" xfId="1" applyFont="1" applyBorder="1" applyAlignment="1" applyProtection="1">
      <alignment horizontal="centerContinuous"/>
      <protection hidden="1"/>
    </xf>
    <xf numFmtId="0" fontId="33" fillId="0" borderId="0" xfId="1" applyFont="1" applyBorder="1" applyAlignment="1" applyProtection="1">
      <protection hidden="1"/>
    </xf>
    <xf numFmtId="37" fontId="28" fillId="0" borderId="0" xfId="0" applyFont="1" applyProtection="1">
      <protection hidden="1"/>
    </xf>
    <xf numFmtId="166" fontId="36" fillId="2" borderId="3" xfId="1" applyNumberFormat="1" applyFont="1" applyFill="1" applyBorder="1" applyAlignment="1" applyProtection="1">
      <alignment horizontal="left"/>
      <protection locked="0"/>
    </xf>
    <xf numFmtId="0" fontId="35" fillId="0" borderId="3" xfId="1" applyFont="1" applyFill="1" applyBorder="1" applyAlignment="1" applyProtection="1">
      <protection hidden="1"/>
    </xf>
    <xf numFmtId="165" fontId="35" fillId="0" borderId="4" xfId="5" applyNumberFormat="1" applyFont="1" applyBorder="1" applyAlignment="1" applyProtection="1">
      <alignment horizontal="right"/>
      <protection hidden="1"/>
    </xf>
    <xf numFmtId="165" fontId="35" fillId="0" borderId="5" xfId="5" applyNumberFormat="1" applyFont="1" applyBorder="1" applyAlignment="1" applyProtection="1">
      <alignment horizontal="right"/>
      <protection hidden="1"/>
    </xf>
    <xf numFmtId="165" fontId="35" fillId="0" borderId="6" xfId="5" applyNumberFormat="1" applyFont="1" applyBorder="1" applyAlignment="1" applyProtection="1">
      <alignment horizontal="right"/>
      <protection hidden="1"/>
    </xf>
    <xf numFmtId="165" fontId="35" fillId="0" borderId="0" xfId="5" applyNumberFormat="1" applyFont="1" applyBorder="1" applyAlignment="1" applyProtection="1">
      <alignment horizontal="right"/>
      <protection hidden="1"/>
    </xf>
    <xf numFmtId="166" fontId="33" fillId="0" borderId="7" xfId="1" applyNumberFormat="1" applyFont="1" applyFill="1" applyBorder="1" applyAlignment="1" applyProtection="1">
      <alignment horizontal="left"/>
      <protection hidden="1"/>
    </xf>
    <xf numFmtId="41" fontId="33" fillId="0" borderId="8" xfId="5" applyNumberFormat="1" applyFont="1" applyBorder="1" applyAlignment="1" applyProtection="1">
      <alignment horizontal="right"/>
      <protection hidden="1"/>
    </xf>
    <xf numFmtId="41" fontId="33" fillId="0" borderId="9" xfId="5" applyNumberFormat="1" applyFont="1" applyBorder="1" applyAlignment="1" applyProtection="1">
      <alignment horizontal="right"/>
      <protection hidden="1"/>
    </xf>
    <xf numFmtId="41" fontId="33" fillId="0" borderId="10" xfId="5" applyNumberFormat="1" applyFont="1" applyBorder="1" applyAlignment="1" applyProtection="1">
      <alignment horizontal="right"/>
      <protection hidden="1"/>
    </xf>
    <xf numFmtId="41" fontId="33" fillId="0" borderId="0" xfId="5" applyNumberFormat="1" applyFont="1" applyBorder="1" applyAlignment="1" applyProtection="1">
      <alignment horizontal="right"/>
      <protection hidden="1"/>
    </xf>
    <xf numFmtId="166" fontId="33" fillId="0" borderId="11" xfId="1" applyNumberFormat="1" applyFont="1" applyFill="1" applyBorder="1" applyAlignment="1" applyProtection="1">
      <alignment horizontal="left"/>
      <protection hidden="1"/>
    </xf>
    <xf numFmtId="41" fontId="33" fillId="0" borderId="12" xfId="5" applyNumberFormat="1" applyFont="1" applyBorder="1" applyAlignment="1" applyProtection="1">
      <alignment horizontal="right"/>
      <protection hidden="1"/>
    </xf>
    <xf numFmtId="41" fontId="33" fillId="0" borderId="13" xfId="5" applyNumberFormat="1" applyFont="1" applyBorder="1" applyAlignment="1" applyProtection="1">
      <alignment horizontal="right"/>
      <protection hidden="1"/>
    </xf>
    <xf numFmtId="0" fontId="35" fillId="0" borderId="0" xfId="1" applyFont="1" applyProtection="1">
      <protection hidden="1"/>
    </xf>
    <xf numFmtId="166" fontId="33" fillId="0" borderId="14" xfId="1" applyNumberFormat="1" applyFont="1" applyFill="1" applyBorder="1" applyAlignment="1" applyProtection="1">
      <alignment horizontal="left"/>
      <protection hidden="1"/>
    </xf>
    <xf numFmtId="41" fontId="33" fillId="0" borderId="15" xfId="5" applyNumberFormat="1" applyFont="1" applyBorder="1" applyAlignment="1" applyProtection="1">
      <alignment horizontal="right"/>
      <protection hidden="1"/>
    </xf>
    <xf numFmtId="41" fontId="33" fillId="0" borderId="16" xfId="5" applyNumberFormat="1" applyFont="1" applyBorder="1" applyAlignment="1" applyProtection="1">
      <alignment horizontal="right"/>
      <protection hidden="1"/>
    </xf>
    <xf numFmtId="41" fontId="33" fillId="0" borderId="17" xfId="5" applyNumberFormat="1" applyFont="1" applyBorder="1" applyAlignment="1" applyProtection="1">
      <alignment horizontal="right"/>
      <protection hidden="1"/>
    </xf>
    <xf numFmtId="166" fontId="33" fillId="0" borderId="0" xfId="1" applyNumberFormat="1" applyFont="1" applyFill="1" applyBorder="1" applyAlignment="1" applyProtection="1">
      <alignment horizontal="left"/>
      <protection hidden="1"/>
    </xf>
    <xf numFmtId="0" fontId="33" fillId="0" borderId="0" xfId="1" applyFont="1" applyAlignment="1" applyProtection="1">
      <protection hidden="1"/>
    </xf>
    <xf numFmtId="37" fontId="33" fillId="0" borderId="0" xfId="0" applyFont="1" applyAlignment="1" applyProtection="1">
      <protection hidden="1"/>
    </xf>
    <xf numFmtId="0" fontId="37" fillId="0" borderId="0" xfId="1" applyFont="1" applyBorder="1" applyAlignment="1" applyProtection="1">
      <protection hidden="1"/>
    </xf>
    <xf numFmtId="0" fontId="37" fillId="0" borderId="0" xfId="1" applyFont="1" applyAlignment="1" applyProtection="1">
      <protection hidden="1"/>
    </xf>
    <xf numFmtId="175" fontId="36" fillId="2" borderId="3" xfId="1" applyNumberFormat="1" applyFont="1" applyFill="1" applyBorder="1" applyAlignment="1" applyProtection="1">
      <alignment horizontal="center"/>
      <protection locked="0"/>
    </xf>
    <xf numFmtId="175" fontId="33" fillId="3" borderId="3" xfId="1" applyNumberFormat="1" applyFont="1" applyFill="1" applyBorder="1" applyAlignment="1" applyProtection="1">
      <alignment horizontal="center"/>
      <protection hidden="1"/>
    </xf>
    <xf numFmtId="9" fontId="36" fillId="2" borderId="3" xfId="1" applyNumberFormat="1" applyFont="1" applyFill="1" applyBorder="1" applyAlignment="1" applyProtection="1">
      <alignment horizontal="center"/>
      <protection locked="0"/>
    </xf>
    <xf numFmtId="179" fontId="36" fillId="2" borderId="3" xfId="1" applyNumberFormat="1" applyFont="1" applyFill="1" applyBorder="1" applyAlignment="1" applyProtection="1">
      <alignment horizontal="center"/>
      <protection locked="0"/>
    </xf>
    <xf numFmtId="168" fontId="36" fillId="2" borderId="3" xfId="1" applyNumberFormat="1" applyFont="1" applyFill="1" applyBorder="1" applyAlignment="1" applyProtection="1">
      <alignment horizontal="center"/>
      <protection locked="0"/>
    </xf>
    <xf numFmtId="0" fontId="35" fillId="0" borderId="4" xfId="1" applyFont="1" applyFill="1" applyBorder="1" applyAlignment="1" applyProtection="1">
      <protection hidden="1"/>
    </xf>
    <xf numFmtId="0" fontId="35" fillId="0" borderId="4" xfId="5" applyNumberFormat="1" applyFont="1" applyBorder="1" applyAlignment="1" applyProtection="1">
      <alignment horizontal="centerContinuous"/>
      <protection hidden="1"/>
    </xf>
    <xf numFmtId="0" fontId="35" fillId="0" borderId="3" xfId="5" applyNumberFormat="1" applyFont="1" applyBorder="1" applyAlignment="1" applyProtection="1">
      <alignment horizontal="centerContinuous"/>
      <protection hidden="1"/>
    </xf>
    <xf numFmtId="37" fontId="33" fillId="0" borderId="11" xfId="1" applyNumberFormat="1" applyFont="1" applyBorder="1" applyAlignment="1" applyProtection="1">
      <alignment horizontal="left"/>
      <protection hidden="1"/>
    </xf>
    <xf numFmtId="168" fontId="36" fillId="2" borderId="12" xfId="5" applyNumberFormat="1" applyFont="1" applyFill="1" applyBorder="1" applyAlignment="1" applyProtection="1">
      <alignment horizontal="center"/>
      <protection locked="0"/>
    </xf>
    <xf numFmtId="168" fontId="36" fillId="2" borderId="11" xfId="5" applyNumberFormat="1" applyFont="1" applyFill="1" applyBorder="1" applyAlignment="1" applyProtection="1">
      <alignment horizontal="center"/>
      <protection locked="0"/>
    </xf>
    <xf numFmtId="37" fontId="33" fillId="0" borderId="14" xfId="1" applyNumberFormat="1" applyFont="1" applyBorder="1" applyAlignment="1" applyProtection="1">
      <alignment horizontal="left"/>
      <protection hidden="1"/>
    </xf>
    <xf numFmtId="168" fontId="36" fillId="2" borderId="15" xfId="5" applyNumberFormat="1" applyFont="1" applyFill="1" applyBorder="1" applyAlignment="1" applyProtection="1">
      <alignment horizontal="center"/>
      <protection locked="0"/>
    </xf>
    <xf numFmtId="168" fontId="36" fillId="2" borderId="14" xfId="5" applyNumberFormat="1" applyFont="1" applyFill="1" applyBorder="1" applyAlignment="1" applyProtection="1">
      <alignment horizontal="center"/>
      <protection locked="0"/>
    </xf>
    <xf numFmtId="41" fontId="33" fillId="0" borderId="12" xfId="5" applyNumberFormat="1" applyFont="1" applyBorder="1" applyAlignment="1" applyProtection="1">
      <alignment horizontal="center"/>
      <protection hidden="1"/>
    </xf>
    <xf numFmtId="41" fontId="33" fillId="0" borderId="0" xfId="5" applyNumberFormat="1" applyFont="1" applyBorder="1" applyAlignment="1" applyProtection="1">
      <alignment horizontal="center"/>
      <protection hidden="1"/>
    </xf>
    <xf numFmtId="41" fontId="33" fillId="0" borderId="13" xfId="5" applyNumberFormat="1" applyFont="1" applyBorder="1" applyAlignment="1" applyProtection="1">
      <alignment horizontal="center"/>
      <protection hidden="1"/>
    </xf>
    <xf numFmtId="41" fontId="33" fillId="0" borderId="15" xfId="5" applyNumberFormat="1" applyFont="1" applyBorder="1" applyAlignment="1" applyProtection="1">
      <alignment horizontal="center"/>
      <protection hidden="1"/>
    </xf>
    <xf numFmtId="41" fontId="33" fillId="0" borderId="16" xfId="5" applyNumberFormat="1" applyFont="1" applyBorder="1" applyAlignment="1" applyProtection="1">
      <alignment horizontal="center"/>
      <protection hidden="1"/>
    </xf>
    <xf numFmtId="41" fontId="33" fillId="0" borderId="17" xfId="5" applyNumberFormat="1" applyFont="1" applyBorder="1" applyAlignment="1" applyProtection="1">
      <alignment horizontal="center"/>
      <protection hidden="1"/>
    </xf>
    <xf numFmtId="37" fontId="35" fillId="0" borderId="4" xfId="1" applyNumberFormat="1" applyFont="1" applyBorder="1" applyAlignment="1" applyProtection="1">
      <alignment horizontal="left"/>
      <protection hidden="1"/>
    </xf>
    <xf numFmtId="41" fontId="33" fillId="0" borderId="4" xfId="5" applyNumberFormat="1" applyFont="1" applyBorder="1" applyAlignment="1" applyProtection="1">
      <alignment horizontal="center"/>
      <protection hidden="1"/>
    </xf>
    <xf numFmtId="41" fontId="33" fillId="0" borderId="5" xfId="5" applyNumberFormat="1" applyFont="1" applyBorder="1" applyAlignment="1" applyProtection="1">
      <alignment horizontal="center"/>
      <protection hidden="1"/>
    </xf>
    <xf numFmtId="41" fontId="33" fillId="0" borderId="6" xfId="5" applyNumberFormat="1" applyFont="1" applyBorder="1" applyAlignment="1" applyProtection="1">
      <alignment horizontal="center"/>
      <protection hidden="1"/>
    </xf>
    <xf numFmtId="0" fontId="35" fillId="0" borderId="4" xfId="5" applyNumberFormat="1" applyFont="1" applyBorder="1" applyAlignment="1" applyProtection="1">
      <alignment horizontal="right"/>
      <protection hidden="1"/>
    </xf>
    <xf numFmtId="0" fontId="35" fillId="0" borderId="3" xfId="5" applyNumberFormat="1" applyFont="1" applyBorder="1" applyAlignment="1" applyProtection="1">
      <alignment horizontal="right"/>
      <protection hidden="1"/>
    </xf>
    <xf numFmtId="41" fontId="36" fillId="2" borderId="8" xfId="5" applyNumberFormat="1" applyFont="1" applyFill="1" applyBorder="1" applyAlignment="1" applyProtection="1">
      <alignment horizontal="right"/>
      <protection locked="0"/>
    </xf>
    <xf numFmtId="41" fontId="36" fillId="2" borderId="7" xfId="5" applyNumberFormat="1" applyFont="1" applyFill="1" applyBorder="1" applyAlignment="1" applyProtection="1">
      <alignment horizontal="right"/>
      <protection locked="0"/>
    </xf>
    <xf numFmtId="41" fontId="36" fillId="2" borderId="12" xfId="5" applyNumberFormat="1" applyFont="1" applyFill="1" applyBorder="1" applyAlignment="1" applyProtection="1">
      <alignment horizontal="right"/>
      <protection locked="0"/>
    </xf>
    <xf numFmtId="41" fontId="36" fillId="2" borderId="11" xfId="5" applyNumberFormat="1" applyFont="1" applyFill="1" applyBorder="1" applyAlignment="1" applyProtection="1">
      <alignment horizontal="right"/>
      <protection locked="0"/>
    </xf>
    <xf numFmtId="41" fontId="36" fillId="2" borderId="15" xfId="5" applyNumberFormat="1" applyFont="1" applyFill="1" applyBorder="1" applyAlignment="1" applyProtection="1">
      <alignment horizontal="right"/>
      <protection locked="0"/>
    </xf>
    <xf numFmtId="41" fontId="36" fillId="2" borderId="14" xfId="5" applyNumberFormat="1" applyFont="1" applyFill="1" applyBorder="1" applyAlignment="1" applyProtection="1">
      <alignment horizontal="right"/>
      <protection locked="0"/>
    </xf>
    <xf numFmtId="37" fontId="33" fillId="0" borderId="0" xfId="1" applyNumberFormat="1" applyFont="1" applyBorder="1" applyAlignment="1" applyProtection="1">
      <alignment horizontal="left"/>
      <protection hidden="1"/>
    </xf>
    <xf numFmtId="0" fontId="38" fillId="0" borderId="0" xfId="1" applyFont="1" applyBorder="1" applyAlignment="1" applyProtection="1">
      <alignment horizontal="centerContinuous"/>
      <protection hidden="1"/>
    </xf>
    <xf numFmtId="0" fontId="38" fillId="0" borderId="0" xfId="1" applyFont="1" applyAlignment="1" applyProtection="1">
      <alignment horizontal="centerContinuous"/>
      <protection hidden="1"/>
    </xf>
    <xf numFmtId="37" fontId="38" fillId="0" borderId="0" xfId="0" applyFont="1" applyAlignment="1" applyProtection="1">
      <alignment horizontal="centerContinuous"/>
      <protection hidden="1"/>
    </xf>
    <xf numFmtId="9" fontId="33" fillId="0" borderId="0" xfId="1" applyNumberFormat="1" applyFont="1" applyBorder="1" applyAlignment="1" applyProtection="1">
      <alignment horizontal="left"/>
      <protection hidden="1"/>
    </xf>
    <xf numFmtId="9" fontId="37" fillId="0" borderId="0" xfId="1" applyNumberFormat="1" applyFont="1" applyBorder="1" applyAlignment="1" applyProtection="1">
      <alignment horizontal="left"/>
      <protection hidden="1"/>
    </xf>
    <xf numFmtId="0" fontId="35" fillId="0" borderId="0" xfId="1" applyFont="1" applyBorder="1" applyAlignment="1" applyProtection="1">
      <alignment horizontal="left"/>
      <protection hidden="1"/>
    </xf>
    <xf numFmtId="0" fontId="37" fillId="0" borderId="0" xfId="1" applyFont="1" applyBorder="1" applyAlignment="1" applyProtection="1">
      <alignment horizontal="left"/>
      <protection hidden="1"/>
    </xf>
    <xf numFmtId="164" fontId="36" fillId="2" borderId="3" xfId="1" applyNumberFormat="1" applyFont="1" applyFill="1" applyBorder="1" applyAlignment="1" applyProtection="1">
      <alignment horizontal="center"/>
      <protection locked="0"/>
    </xf>
    <xf numFmtId="164" fontId="33" fillId="3" borderId="3" xfId="1" applyNumberFormat="1" applyFont="1" applyFill="1" applyBorder="1" applyAlignment="1" applyProtection="1">
      <alignment horizontal="center"/>
      <protection hidden="1"/>
    </xf>
    <xf numFmtId="0" fontId="33" fillId="0" borderId="0" xfId="1" applyFont="1" applyBorder="1" applyAlignment="1" applyProtection="1">
      <alignment horizontal="right"/>
      <protection hidden="1"/>
    </xf>
    <xf numFmtId="0" fontId="35" fillId="0" borderId="0" xfId="1" applyFont="1" applyBorder="1" applyAlignment="1" applyProtection="1">
      <alignment horizontal="right"/>
      <protection hidden="1"/>
    </xf>
    <xf numFmtId="181" fontId="36" fillId="2" borderId="3" xfId="1" applyNumberFormat="1" applyFont="1" applyFill="1" applyBorder="1" applyAlignment="1" applyProtection="1">
      <alignment horizontal="center"/>
      <protection locked="0"/>
    </xf>
    <xf numFmtId="184" fontId="36" fillId="2" borderId="3" xfId="1" applyNumberFormat="1" applyFont="1" applyFill="1" applyBorder="1" applyAlignment="1" applyProtection="1">
      <alignment horizontal="center"/>
      <protection locked="0"/>
    </xf>
    <xf numFmtId="185" fontId="36" fillId="2" borderId="3" xfId="1" applyNumberFormat="1" applyFont="1" applyFill="1" applyBorder="1" applyAlignment="1" applyProtection="1">
      <alignment horizontal="center"/>
      <protection locked="0"/>
    </xf>
    <xf numFmtId="0" fontId="35" fillId="0" borderId="0" xfId="1" applyFont="1" applyBorder="1" applyAlignment="1" applyProtection="1">
      <alignment horizontal="center"/>
      <protection hidden="1"/>
    </xf>
    <xf numFmtId="181" fontId="33" fillId="0" borderId="0" xfId="5" applyNumberFormat="1" applyFont="1" applyBorder="1" applyAlignment="1" applyProtection="1">
      <alignment horizontal="centerContinuous"/>
      <protection hidden="1"/>
    </xf>
    <xf numFmtId="5" fontId="33" fillId="0" borderId="0" xfId="5" applyNumberFormat="1" applyFont="1" applyBorder="1" applyAlignment="1" applyProtection="1">
      <alignment horizontal="centerContinuous"/>
      <protection hidden="1"/>
    </xf>
    <xf numFmtId="0" fontId="35" fillId="0" borderId="0" xfId="1" applyFont="1" applyBorder="1" applyAlignment="1" applyProtection="1">
      <protection hidden="1"/>
    </xf>
    <xf numFmtId="37" fontId="35" fillId="0" borderId="0" xfId="1" applyNumberFormat="1" applyFont="1" applyBorder="1" applyAlignment="1" applyProtection="1">
      <alignment horizontal="left"/>
      <protection hidden="1"/>
    </xf>
    <xf numFmtId="37" fontId="33" fillId="0" borderId="0" xfId="5" applyNumberFormat="1" applyFont="1" applyBorder="1" applyAlignment="1" applyProtection="1">
      <alignment horizontal="right"/>
      <protection hidden="1"/>
    </xf>
    <xf numFmtId="0" fontId="35" fillId="0" borderId="0" xfId="1" applyFont="1" applyBorder="1" applyProtection="1">
      <protection hidden="1"/>
    </xf>
    <xf numFmtId="5" fontId="39" fillId="0" borderId="0" xfId="5" applyNumberFormat="1" applyFont="1" applyBorder="1" applyProtection="1"/>
    <xf numFmtId="5" fontId="2" fillId="0" borderId="0" xfId="5" applyNumberFormat="1" applyFont="1" applyBorder="1" applyProtection="1"/>
    <xf numFmtId="165" fontId="12" fillId="0" borderId="0" xfId="5" applyNumberFormat="1" applyFont="1" applyBorder="1" applyAlignment="1" applyProtection="1">
      <alignment horizontal="right"/>
    </xf>
    <xf numFmtId="5" fontId="2" fillId="0" borderId="0" xfId="5" applyNumberFormat="1" applyFont="1" applyProtection="1"/>
    <xf numFmtId="5" fontId="12" fillId="0" borderId="0" xfId="5" applyNumberFormat="1" applyFont="1" applyBorder="1" applyProtection="1"/>
    <xf numFmtId="17" fontId="22" fillId="0" borderId="0" xfId="0" applyNumberFormat="1" applyFont="1" applyFill="1" applyBorder="1" applyAlignment="1" applyProtection="1">
      <alignment horizontal="center"/>
      <protection hidden="1"/>
    </xf>
    <xf numFmtId="2" fontId="22" fillId="0" borderId="0" xfId="0" applyNumberFormat="1" applyFont="1" applyFill="1" applyBorder="1" applyAlignment="1" applyProtection="1">
      <alignment horizontal="center"/>
      <protection hidden="1"/>
    </xf>
    <xf numFmtId="37" fontId="20" fillId="9" borderId="0" xfId="0" applyFont="1" applyFill="1" applyProtection="1">
      <protection hidden="1"/>
    </xf>
    <xf numFmtId="37" fontId="25" fillId="0" borderId="0" xfId="0" applyFont="1" applyFill="1" applyBorder="1" applyProtection="1">
      <protection locked="0"/>
    </xf>
    <xf numFmtId="37" fontId="40" fillId="0" borderId="0" xfId="0" applyFont="1" applyFill="1" applyBorder="1" applyProtection="1">
      <protection locked="0"/>
    </xf>
    <xf numFmtId="37" fontId="20" fillId="11" borderId="0" xfId="0" applyFont="1" applyFill="1" applyProtection="1">
      <protection hidden="1"/>
    </xf>
    <xf numFmtId="37" fontId="41" fillId="13" borderId="1" xfId="0" applyFont="1" applyFill="1" applyBorder="1" applyAlignment="1" applyProtection="1">
      <alignment horizontal="left"/>
      <protection hidden="1"/>
    </xf>
    <xf numFmtId="37" fontId="42" fillId="13" borderId="1" xfId="0" applyFont="1" applyFill="1" applyBorder="1" applyAlignment="1" applyProtection="1">
      <alignment horizontal="left"/>
      <protection hidden="1"/>
    </xf>
    <xf numFmtId="37" fontId="42" fillId="13" borderId="1" xfId="0" applyFont="1" applyFill="1" applyBorder="1" applyAlignment="1" applyProtection="1">
      <protection hidden="1"/>
    </xf>
    <xf numFmtId="37" fontId="42" fillId="13" borderId="1" xfId="0" applyFont="1" applyFill="1" applyBorder="1" applyAlignment="1" applyProtection="1">
      <alignment horizontal="centerContinuous"/>
      <protection hidden="1"/>
    </xf>
    <xf numFmtId="37" fontId="43" fillId="13" borderId="1" xfId="0" applyFont="1" applyFill="1" applyBorder="1" applyAlignment="1" applyProtection="1">
      <alignment horizontal="centerContinuous"/>
      <protection hidden="1"/>
    </xf>
    <xf numFmtId="37" fontId="42" fillId="13" borderId="1" xfId="0" applyFont="1" applyFill="1" applyBorder="1" applyProtection="1">
      <protection hidden="1"/>
    </xf>
    <xf numFmtId="37" fontId="43" fillId="13" borderId="1" xfId="0" applyFont="1" applyFill="1" applyBorder="1" applyProtection="1">
      <protection hidden="1"/>
    </xf>
    <xf numFmtId="37" fontId="41" fillId="13" borderId="2" xfId="0" applyFont="1" applyFill="1" applyBorder="1" applyAlignment="1" applyProtection="1">
      <alignment horizontal="left"/>
      <protection hidden="1"/>
    </xf>
    <xf numFmtId="37" fontId="42" fillId="13" borderId="2" xfId="0" applyFont="1" applyFill="1" applyBorder="1" applyAlignment="1" applyProtection="1">
      <alignment horizontal="left"/>
      <protection hidden="1"/>
    </xf>
    <xf numFmtId="37" fontId="42" fillId="13" borderId="2" xfId="0" applyFont="1" applyFill="1" applyBorder="1" applyAlignment="1" applyProtection="1">
      <protection hidden="1"/>
    </xf>
    <xf numFmtId="37" fontId="42" fillId="13" borderId="2" xfId="0" applyFont="1" applyFill="1" applyBorder="1" applyProtection="1">
      <protection hidden="1"/>
    </xf>
    <xf numFmtId="37" fontId="43" fillId="13" borderId="2" xfId="0" applyFont="1" applyFill="1" applyBorder="1" applyProtection="1">
      <protection hidden="1"/>
    </xf>
    <xf numFmtId="186" fontId="20" fillId="0" borderId="0" xfId="0" applyNumberFormat="1" applyFont="1" applyBorder="1" applyProtection="1">
      <protection hidden="1"/>
    </xf>
    <xf numFmtId="37" fontId="20" fillId="0" borderId="0" xfId="0" applyNumberFormat="1" applyFont="1" applyBorder="1" applyProtection="1">
      <protection hidden="1"/>
    </xf>
    <xf numFmtId="39" fontId="20" fillId="0" borderId="9" xfId="0" applyNumberFormat="1" applyFont="1" applyBorder="1" applyProtection="1">
      <protection hidden="1"/>
    </xf>
    <xf numFmtId="37" fontId="20" fillId="0" borderId="9" xfId="0" applyNumberFormat="1" applyFont="1" applyBorder="1" applyProtection="1">
      <protection hidden="1"/>
    </xf>
    <xf numFmtId="37" fontId="20" fillId="2" borderId="0" xfId="0" applyNumberFormat="1" applyFont="1" applyFill="1" applyBorder="1" applyProtection="1">
      <protection hidden="1"/>
    </xf>
    <xf numFmtId="39" fontId="20" fillId="0" borderId="9" xfId="0" applyNumberFormat="1" applyFont="1" applyFill="1" applyBorder="1" applyProtection="1">
      <protection hidden="1"/>
    </xf>
    <xf numFmtId="37" fontId="20" fillId="0" borderId="9" xfId="0" applyNumberFormat="1" applyFont="1" applyFill="1" applyBorder="1" applyProtection="1">
      <protection hidden="1"/>
    </xf>
    <xf numFmtId="188" fontId="19" fillId="2" borderId="0" xfId="0" applyNumberFormat="1" applyFont="1" applyFill="1" applyBorder="1" applyProtection="1">
      <protection hidden="1"/>
    </xf>
    <xf numFmtId="189" fontId="20" fillId="3" borderId="0" xfId="0" applyNumberFormat="1" applyFont="1" applyFill="1" applyBorder="1" applyAlignment="1" applyProtection="1">
      <protection hidden="1"/>
    </xf>
    <xf numFmtId="37" fontId="43" fillId="13" borderId="9" xfId="0" applyFont="1" applyFill="1" applyBorder="1" applyAlignment="1" applyProtection="1">
      <alignment horizontal="left"/>
      <protection hidden="1"/>
    </xf>
    <xf numFmtId="1" fontId="43" fillId="13" borderId="9" xfId="0" applyNumberFormat="1" applyFont="1" applyFill="1" applyBorder="1" applyAlignment="1" applyProtection="1">
      <alignment horizontal="center"/>
      <protection hidden="1"/>
    </xf>
    <xf numFmtId="37" fontId="43" fillId="13" borderId="9" xfId="0" applyFont="1" applyFill="1" applyBorder="1" applyAlignment="1" applyProtection="1">
      <alignment horizontal="center"/>
      <protection hidden="1"/>
    </xf>
    <xf numFmtId="15" fontId="43" fillId="13" borderId="9" xfId="0" applyNumberFormat="1" applyFont="1" applyFill="1" applyBorder="1" applyAlignment="1" applyProtection="1">
      <alignment horizontal="left"/>
      <protection hidden="1"/>
    </xf>
    <xf numFmtId="37" fontId="43" fillId="13" borderId="9" xfId="0" applyFont="1" applyFill="1" applyBorder="1" applyAlignment="1" applyProtection="1">
      <protection hidden="1"/>
    </xf>
    <xf numFmtId="37" fontId="44" fillId="0" borderId="0" xfId="0" applyFont="1"/>
    <xf numFmtId="37" fontId="44" fillId="0" borderId="16" xfId="0" applyFont="1" applyBorder="1"/>
    <xf numFmtId="37" fontId="44" fillId="0" borderId="5" xfId="0" applyFont="1" applyBorder="1"/>
    <xf numFmtId="37" fontId="32" fillId="0" borderId="0" xfId="0" applyFont="1"/>
    <xf numFmtId="37" fontId="30" fillId="0" borderId="12" xfId="0" applyFont="1" applyBorder="1"/>
    <xf numFmtId="37" fontId="30" fillId="0" borderId="0" xfId="0" applyFont="1" applyBorder="1"/>
    <xf numFmtId="187" fontId="44" fillId="0" borderId="5" xfId="0" applyNumberFormat="1" applyFont="1" applyBorder="1"/>
    <xf numFmtId="37" fontId="32" fillId="0" borderId="16" xfId="0" applyFont="1" applyBorder="1"/>
    <xf numFmtId="37" fontId="44" fillId="0" borderId="0" xfId="0" applyNumberFormat="1" applyFont="1"/>
    <xf numFmtId="37" fontId="44" fillId="0" borderId="16" xfId="0" applyNumberFormat="1" applyFont="1" applyBorder="1"/>
    <xf numFmtId="9" fontId="47" fillId="0" borderId="0" xfId="4" applyFont="1"/>
    <xf numFmtId="187" fontId="32" fillId="0" borderId="0" xfId="0" applyNumberFormat="1" applyFont="1"/>
    <xf numFmtId="37" fontId="44" fillId="0" borderId="0" xfId="0" applyFont="1" applyAlignment="1">
      <alignment horizontal="right"/>
    </xf>
    <xf numFmtId="2" fontId="44" fillId="0" borderId="0" xfId="4" applyNumberFormat="1" applyFont="1"/>
    <xf numFmtId="37" fontId="44" fillId="0" borderId="0" xfId="0" applyNumberFormat="1" applyFont="1" applyBorder="1"/>
    <xf numFmtId="2" fontId="44" fillId="0" borderId="16" xfId="4" applyNumberFormat="1" applyFont="1" applyBorder="1"/>
    <xf numFmtId="9" fontId="47" fillId="0" borderId="16" xfId="4" applyFont="1" applyBorder="1"/>
    <xf numFmtId="3" fontId="47" fillId="0" borderId="0" xfId="0" applyNumberFormat="1" applyFont="1"/>
    <xf numFmtId="37" fontId="32" fillId="10" borderId="4" xfId="0" applyFont="1" applyFill="1" applyBorder="1"/>
    <xf numFmtId="37" fontId="32" fillId="10" borderId="5" xfId="0" applyFont="1" applyFill="1" applyBorder="1"/>
    <xf numFmtId="3" fontId="32" fillId="10" borderId="5" xfId="0" applyNumberFormat="1" applyFont="1" applyFill="1" applyBorder="1" applyAlignment="1">
      <alignment horizontal="right"/>
    </xf>
    <xf numFmtId="37" fontId="32" fillId="10" borderId="6" xfId="0" applyFont="1" applyFill="1" applyBorder="1"/>
    <xf numFmtId="37" fontId="32" fillId="10" borderId="5" xfId="0" applyNumberFormat="1" applyFont="1" applyFill="1" applyBorder="1"/>
    <xf numFmtId="2" fontId="32" fillId="10" borderId="5" xfId="4" applyNumberFormat="1" applyFont="1" applyFill="1" applyBorder="1"/>
    <xf numFmtId="10" fontId="22" fillId="0" borderId="0" xfId="0" applyNumberFormat="1" applyFont="1" applyBorder="1" applyAlignment="1" applyProtection="1">
      <alignment horizontal="center"/>
      <protection hidden="1"/>
    </xf>
    <xf numFmtId="37" fontId="19" fillId="2" borderId="0" xfId="0" applyFont="1" applyFill="1" applyBorder="1" applyProtection="1">
      <protection locked="0"/>
    </xf>
    <xf numFmtId="37" fontId="20" fillId="2" borderId="0" xfId="0" applyNumberFormat="1" applyFont="1" applyFill="1" applyBorder="1" applyProtection="1">
      <protection locked="0"/>
    </xf>
    <xf numFmtId="190" fontId="33" fillId="0" borderId="8" xfId="5" applyNumberFormat="1" applyFont="1" applyBorder="1" applyAlignment="1" applyProtection="1">
      <alignment horizontal="right"/>
      <protection hidden="1"/>
    </xf>
    <xf numFmtId="190" fontId="33" fillId="0" borderId="9" xfId="5" applyNumberFormat="1" applyFont="1" applyBorder="1" applyAlignment="1" applyProtection="1">
      <alignment horizontal="right"/>
      <protection hidden="1"/>
    </xf>
    <xf numFmtId="190" fontId="33" fillId="0" borderId="10" xfId="5" applyNumberFormat="1" applyFont="1" applyBorder="1" applyAlignment="1" applyProtection="1">
      <alignment horizontal="right"/>
      <protection hidden="1"/>
    </xf>
    <xf numFmtId="190" fontId="33" fillId="0" borderId="12" xfId="5" applyNumberFormat="1" applyFont="1" applyBorder="1" applyAlignment="1" applyProtection="1">
      <alignment horizontal="right"/>
      <protection hidden="1"/>
    </xf>
    <xf numFmtId="190" fontId="33" fillId="0" borderId="0" xfId="5" applyNumberFormat="1" applyFont="1" applyBorder="1" applyAlignment="1" applyProtection="1">
      <alignment horizontal="right"/>
      <protection hidden="1"/>
    </xf>
    <xf numFmtId="190" fontId="33" fillId="0" borderId="13" xfId="5" applyNumberFormat="1" applyFont="1" applyBorder="1" applyAlignment="1" applyProtection="1">
      <alignment horizontal="right"/>
      <protection hidden="1"/>
    </xf>
    <xf numFmtId="190" fontId="33" fillId="0" borderId="15" xfId="5" applyNumberFormat="1" applyFont="1" applyBorder="1" applyAlignment="1" applyProtection="1">
      <alignment horizontal="right"/>
      <protection hidden="1"/>
    </xf>
    <xf numFmtId="190" fontId="33" fillId="0" borderId="16" xfId="5" applyNumberFormat="1" applyFont="1" applyBorder="1" applyAlignment="1" applyProtection="1">
      <alignment horizontal="right"/>
      <protection hidden="1"/>
    </xf>
    <xf numFmtId="190" fontId="33" fillId="0" borderId="17" xfId="5" applyNumberFormat="1" applyFont="1" applyBorder="1" applyAlignment="1" applyProtection="1">
      <alignment horizontal="right"/>
      <protection hidden="1"/>
    </xf>
    <xf numFmtId="191" fontId="24" fillId="2" borderId="0" xfId="0" applyNumberFormat="1" applyFont="1" applyFill="1" applyBorder="1" applyProtection="1">
      <protection locked="0"/>
    </xf>
    <xf numFmtId="191" fontId="19" fillId="2" borderId="0" xfId="0" applyNumberFormat="1" applyFont="1" applyFill="1" applyBorder="1" applyProtection="1">
      <protection locked="0"/>
    </xf>
    <xf numFmtId="192" fontId="24" fillId="2" borderId="0" xfId="0" applyNumberFormat="1" applyFont="1" applyFill="1" applyBorder="1" applyProtection="1">
      <protection locked="0"/>
    </xf>
    <xf numFmtId="37" fontId="48" fillId="2" borderId="0" xfId="0" applyFont="1" applyFill="1" applyBorder="1" applyProtection="1">
      <protection locked="0"/>
    </xf>
    <xf numFmtId="193" fontId="20" fillId="0" borderId="0" xfId="0" applyNumberFormat="1" applyFont="1" applyFill="1" applyProtection="1">
      <protection hidden="1"/>
    </xf>
    <xf numFmtId="37" fontId="19" fillId="0" borderId="0" xfId="0" applyFont="1" applyBorder="1" applyAlignment="1" applyProtection="1">
      <protection hidden="1"/>
    </xf>
    <xf numFmtId="2" fontId="20" fillId="0" borderId="0" xfId="0" applyNumberFormat="1" applyFont="1" applyFill="1" applyBorder="1" applyProtection="1">
      <protection hidden="1"/>
    </xf>
    <xf numFmtId="37" fontId="43" fillId="12" borderId="9" xfId="0" applyFont="1" applyFill="1" applyBorder="1" applyAlignment="1" applyProtection="1">
      <alignment horizontal="left"/>
      <protection hidden="1"/>
    </xf>
    <xf numFmtId="15" fontId="43" fillId="12" borderId="9" xfId="0" applyNumberFormat="1" applyFont="1" applyFill="1" applyBorder="1" applyAlignment="1" applyProtection="1">
      <alignment horizontal="left"/>
      <protection hidden="1"/>
    </xf>
    <xf numFmtId="37" fontId="43" fillId="12" borderId="9" xfId="0" applyFont="1" applyFill="1" applyBorder="1" applyAlignment="1" applyProtection="1">
      <protection hidden="1"/>
    </xf>
    <xf numFmtId="1" fontId="43" fillId="12" borderId="9" xfId="0" applyNumberFormat="1" applyFont="1" applyFill="1" applyBorder="1" applyAlignment="1" applyProtection="1">
      <alignment horizontal="center"/>
      <protection hidden="1"/>
    </xf>
    <xf numFmtId="37" fontId="43" fillId="12" borderId="9" xfId="0" applyFont="1" applyFill="1" applyBorder="1" applyAlignment="1" applyProtection="1">
      <alignment horizontal="center"/>
      <protection hidden="1"/>
    </xf>
    <xf numFmtId="37" fontId="32" fillId="0" borderId="12" xfId="0" applyFont="1" applyBorder="1"/>
    <xf numFmtId="187" fontId="44" fillId="0" borderId="0" xfId="0" applyNumberFormat="1" applyFont="1"/>
    <xf numFmtId="37" fontId="19" fillId="0" borderId="0" xfId="0" applyFont="1" applyFill="1" applyBorder="1" applyProtection="1">
      <protection hidden="1"/>
    </xf>
    <xf numFmtId="37" fontId="19" fillId="8" borderId="0" xfId="0" applyFont="1" applyFill="1" applyBorder="1" applyProtection="1">
      <protection hidden="1"/>
    </xf>
    <xf numFmtId="186" fontId="44" fillId="0" borderId="0" xfId="0" applyNumberFormat="1" applyFont="1" applyBorder="1"/>
    <xf numFmtId="187" fontId="44" fillId="0" borderId="0" xfId="0" applyNumberFormat="1" applyFont="1" applyBorder="1"/>
    <xf numFmtId="194" fontId="19" fillId="0" borderId="0" xfId="0" applyNumberFormat="1" applyFont="1" applyBorder="1" applyAlignment="1" applyProtection="1">
      <alignment horizontal="center"/>
      <protection hidden="1"/>
    </xf>
    <xf numFmtId="187" fontId="28" fillId="0" borderId="0" xfId="0" applyNumberFormat="1" applyFont="1"/>
    <xf numFmtId="37" fontId="20" fillId="0" borderId="0" xfId="0" applyNumberFormat="1" applyFont="1" applyFill="1" applyBorder="1" applyProtection="1">
      <protection hidden="1"/>
    </xf>
    <xf numFmtId="2" fontId="50" fillId="0" borderId="2" xfId="1" applyNumberFormat="1" applyFont="1" applyFill="1" applyBorder="1" applyAlignment="1" applyProtection="1">
      <alignment horizontal="centerContinuous"/>
      <protection hidden="1"/>
    </xf>
    <xf numFmtId="37" fontId="23" fillId="0" borderId="0" xfId="0" applyFont="1" applyFill="1" applyBorder="1" applyAlignment="1" applyProtection="1">
      <alignment horizontal="left"/>
      <protection hidden="1"/>
    </xf>
    <xf numFmtId="37" fontId="22" fillId="0" borderId="0" xfId="0" applyFont="1" applyFill="1" applyBorder="1" applyAlignment="1" applyProtection="1">
      <alignment horizontal="centerContinuous"/>
      <protection hidden="1"/>
    </xf>
    <xf numFmtId="37" fontId="20" fillId="0" borderId="0" xfId="0" applyFont="1" applyFill="1" applyBorder="1" applyAlignment="1" applyProtection="1">
      <alignment horizontal="centerContinuous"/>
      <protection hidden="1"/>
    </xf>
    <xf numFmtId="3" fontId="44" fillId="0" borderId="0" xfId="0" applyNumberFormat="1" applyFont="1" applyFill="1"/>
    <xf numFmtId="3" fontId="44" fillId="0" borderId="0" xfId="0" applyNumberFormat="1" applyFont="1"/>
    <xf numFmtId="2" fontId="20" fillId="0" borderId="0" xfId="0" applyNumberFormat="1" applyFont="1" applyBorder="1" applyAlignment="1" applyProtection="1">
      <alignment horizontal="center"/>
      <protection hidden="1"/>
    </xf>
    <xf numFmtId="37" fontId="44" fillId="0" borderId="0" xfId="0" applyNumberFormat="1" applyFont="1" applyFill="1" applyBorder="1"/>
    <xf numFmtId="37" fontId="44" fillId="0" borderId="5" xfId="0" applyFont="1" applyFill="1" applyBorder="1"/>
    <xf numFmtId="195" fontId="10" fillId="0" borderId="0" xfId="5" applyNumberFormat="1" applyFont="1" applyProtection="1"/>
    <xf numFmtId="186" fontId="20" fillId="0" borderId="9" xfId="0" applyNumberFormat="1" applyFont="1" applyBorder="1" applyProtection="1">
      <protection hidden="1"/>
    </xf>
    <xf numFmtId="196" fontId="44" fillId="0" borderId="0" xfId="0" applyNumberFormat="1" applyFont="1"/>
    <xf numFmtId="197" fontId="44" fillId="0" borderId="0" xfId="0" applyNumberFormat="1" applyFont="1"/>
    <xf numFmtId="198" fontId="20" fillId="0" borderId="0" xfId="0" applyNumberFormat="1" applyFont="1" applyFill="1" applyBorder="1" applyProtection="1">
      <protection hidden="1"/>
    </xf>
    <xf numFmtId="198" fontId="22" fillId="0" borderId="0" xfId="0" applyNumberFormat="1" applyFont="1" applyFill="1" applyBorder="1" applyProtection="1">
      <protection hidden="1"/>
    </xf>
    <xf numFmtId="39" fontId="28" fillId="0" borderId="0" xfId="0" applyNumberFormat="1" applyFont="1"/>
    <xf numFmtId="9" fontId="28" fillId="0" borderId="0" xfId="4" applyFont="1"/>
    <xf numFmtId="37" fontId="28" fillId="0" borderId="16" xfId="0" applyFont="1" applyBorder="1"/>
    <xf numFmtId="37" fontId="28" fillId="10" borderId="0" xfId="0" applyFont="1" applyFill="1"/>
    <xf numFmtId="199" fontId="20" fillId="2" borderId="0" xfId="0" applyNumberFormat="1" applyFont="1" applyFill="1" applyBorder="1" applyAlignment="1" applyProtection="1">
      <protection locked="0" hidden="1"/>
    </xf>
    <xf numFmtId="200" fontId="19" fillId="2" borderId="0" xfId="0" applyNumberFormat="1" applyFont="1" applyFill="1" applyBorder="1" applyAlignment="1" applyProtection="1">
      <protection locked="0" hidden="1"/>
    </xf>
    <xf numFmtId="200" fontId="20" fillId="2" borderId="0" xfId="0" applyNumberFormat="1" applyFont="1" applyFill="1" applyBorder="1" applyAlignment="1" applyProtection="1">
      <protection locked="0" hidden="1"/>
    </xf>
    <xf numFmtId="200" fontId="20" fillId="2" borderId="0" xfId="0" applyNumberFormat="1" applyFont="1" applyFill="1" applyBorder="1" applyProtection="1">
      <protection locked="0"/>
    </xf>
    <xf numFmtId="200" fontId="19" fillId="2" borderId="0" xfId="0" applyNumberFormat="1" applyFont="1" applyFill="1" applyBorder="1" applyProtection="1">
      <protection locked="0"/>
    </xf>
    <xf numFmtId="200" fontId="22" fillId="2" borderId="0" xfId="0" applyNumberFormat="1" applyFont="1" applyFill="1" applyBorder="1" applyAlignment="1" applyProtection="1">
      <protection locked="0" hidden="1"/>
    </xf>
    <xf numFmtId="200" fontId="22" fillId="2" borderId="0" xfId="0" applyNumberFormat="1" applyFont="1" applyFill="1" applyBorder="1" applyProtection="1">
      <protection locked="0"/>
    </xf>
    <xf numFmtId="186" fontId="20" fillId="0" borderId="9" xfId="0" applyNumberFormat="1" applyFont="1" applyBorder="1" applyAlignment="1" applyProtection="1">
      <protection hidden="1"/>
    </xf>
    <xf numFmtId="39" fontId="28" fillId="0" borderId="16" xfId="0" applyNumberFormat="1" applyFont="1" applyBorder="1"/>
    <xf numFmtId="0" fontId="44" fillId="0" borderId="0" xfId="7"/>
    <xf numFmtId="0" fontId="51" fillId="0" borderId="0" xfId="7" applyFont="1"/>
    <xf numFmtId="0" fontId="52" fillId="0" borderId="0" xfId="7" applyFont="1" applyAlignment="1">
      <alignment horizontal="center" vertical="center"/>
    </xf>
    <xf numFmtId="0" fontId="52" fillId="0" borderId="19" xfId="7" applyFont="1" applyFill="1" applyBorder="1" applyAlignment="1">
      <alignment horizontal="right" wrapText="1"/>
    </xf>
    <xf numFmtId="0" fontId="53" fillId="0" borderId="20" xfId="7" applyFont="1" applyBorder="1" applyAlignment="1">
      <alignment horizontal="center" wrapText="1"/>
    </xf>
    <xf numFmtId="0" fontId="53" fillId="0" borderId="21" xfId="7" applyFont="1" applyBorder="1" applyAlignment="1">
      <alignment horizontal="center" wrapText="1"/>
    </xf>
    <xf numFmtId="0" fontId="53" fillId="0" borderId="0" xfId="7" applyFont="1" applyFill="1" applyBorder="1" applyAlignment="1">
      <alignment horizontal="center" wrapText="1"/>
    </xf>
    <xf numFmtId="0" fontId="53" fillId="0" borderId="0" xfId="7" applyFont="1" applyAlignment="1">
      <alignment wrapText="1"/>
    </xf>
    <xf numFmtId="0" fontId="53" fillId="16" borderId="22" xfId="7" applyFont="1" applyFill="1" applyBorder="1" applyAlignment="1">
      <alignment horizontal="right"/>
    </xf>
    <xf numFmtId="201" fontId="53" fillId="14" borderId="23" xfId="7" applyNumberFormat="1" applyFont="1" applyFill="1" applyBorder="1" applyAlignment="1">
      <alignment horizontal="right" indent="2"/>
    </xf>
    <xf numFmtId="201" fontId="53" fillId="14" borderId="24" xfId="8" applyNumberFormat="1" applyFont="1" applyFill="1" applyBorder="1"/>
    <xf numFmtId="201" fontId="53" fillId="17" borderId="25" xfId="8" applyNumberFormat="1" applyFont="1" applyFill="1" applyBorder="1"/>
    <xf numFmtId="44" fontId="53" fillId="0" borderId="0" xfId="8" applyFont="1" applyFill="1" applyBorder="1"/>
    <xf numFmtId="0" fontId="53" fillId="0" borderId="0" xfId="7" applyFont="1"/>
    <xf numFmtId="9" fontId="53" fillId="0" borderId="0" xfId="9" applyFont="1"/>
    <xf numFmtId="0" fontId="53" fillId="18" borderId="26" xfId="7" applyFont="1" applyFill="1" applyBorder="1" applyAlignment="1">
      <alignment horizontal="right"/>
    </xf>
    <xf numFmtId="201" fontId="53" fillId="14" borderId="27" xfId="7" applyNumberFormat="1" applyFont="1" applyFill="1" applyBorder="1" applyAlignment="1">
      <alignment horizontal="right" indent="1"/>
    </xf>
    <xf numFmtId="201" fontId="53" fillId="14" borderId="3" xfId="8" applyNumberFormat="1" applyFont="1" applyFill="1" applyBorder="1"/>
    <xf numFmtId="201" fontId="53" fillId="18" borderId="28" xfId="8" applyNumberFormat="1" applyFont="1" applyFill="1" applyBorder="1"/>
    <xf numFmtId="164" fontId="53" fillId="0" borderId="0" xfId="7" applyNumberFormat="1" applyFont="1"/>
    <xf numFmtId="9" fontId="53" fillId="0" borderId="0" xfId="7" applyNumberFormat="1" applyFont="1"/>
    <xf numFmtId="0" fontId="53" fillId="4" borderId="26" xfId="7" applyFont="1" applyFill="1" applyBorder="1" applyAlignment="1">
      <alignment horizontal="right"/>
    </xf>
    <xf numFmtId="201" fontId="53" fillId="19" borderId="28" xfId="8" applyNumberFormat="1" applyFont="1" applyFill="1" applyBorder="1"/>
    <xf numFmtId="10" fontId="53" fillId="0" borderId="0" xfId="7" applyNumberFormat="1" applyFont="1"/>
    <xf numFmtId="10" fontId="53" fillId="0" borderId="0" xfId="9" applyNumberFormat="1" applyFont="1"/>
    <xf numFmtId="0" fontId="53" fillId="6" borderId="26" xfId="7" applyFont="1" applyFill="1" applyBorder="1" applyAlignment="1">
      <alignment horizontal="right"/>
    </xf>
    <xf numFmtId="201" fontId="53" fillId="20" borderId="28" xfId="8" applyNumberFormat="1" applyFont="1" applyFill="1" applyBorder="1"/>
    <xf numFmtId="0" fontId="53" fillId="21" borderId="26" xfId="7" applyFont="1" applyFill="1" applyBorder="1" applyAlignment="1">
      <alignment horizontal="right"/>
    </xf>
    <xf numFmtId="201" fontId="53" fillId="22" borderId="28" xfId="8" applyNumberFormat="1" applyFont="1" applyFill="1" applyBorder="1"/>
    <xf numFmtId="0" fontId="53" fillId="15" borderId="29" xfId="7" applyFont="1" applyFill="1" applyBorder="1" applyAlignment="1">
      <alignment horizontal="right"/>
    </xf>
    <xf numFmtId="201" fontId="53" fillId="14" borderId="30" xfId="7" applyNumberFormat="1" applyFont="1" applyFill="1" applyBorder="1" applyAlignment="1">
      <alignment horizontal="right" indent="1"/>
    </xf>
    <xf numFmtId="201" fontId="53" fillId="14" borderId="31" xfId="8" applyNumberFormat="1" applyFont="1" applyFill="1" applyBorder="1"/>
    <xf numFmtId="201" fontId="53" fillId="23" borderId="32" xfId="8" applyNumberFormat="1" applyFont="1" applyFill="1" applyBorder="1"/>
    <xf numFmtId="0" fontId="53" fillId="0" borderId="33" xfId="7" applyFont="1" applyBorder="1"/>
    <xf numFmtId="0" fontId="53" fillId="0" borderId="34" xfId="7" applyFont="1" applyBorder="1"/>
    <xf numFmtId="202" fontId="44" fillId="0" borderId="34" xfId="7" applyNumberFormat="1" applyFont="1" applyBorder="1"/>
    <xf numFmtId="202" fontId="44" fillId="0" borderId="35" xfId="7" applyNumberFormat="1" applyFont="1" applyBorder="1"/>
    <xf numFmtId="203" fontId="53" fillId="0" borderId="0" xfId="7" applyNumberFormat="1" applyFont="1"/>
    <xf numFmtId="0" fontId="52" fillId="0" borderId="0" xfId="7" applyFont="1" applyFill="1" applyBorder="1" applyAlignment="1">
      <alignment horizontal="left"/>
    </xf>
    <xf numFmtId="0" fontId="53" fillId="0" borderId="0" xfId="7" applyFont="1" applyAlignment="1">
      <alignment horizontal="right"/>
    </xf>
    <xf numFmtId="0" fontId="53" fillId="24" borderId="19" xfId="7" applyFont="1" applyFill="1" applyBorder="1" applyAlignment="1">
      <alignment horizontal="center"/>
    </xf>
    <xf numFmtId="0" fontId="53" fillId="16" borderId="21" xfId="7" applyFont="1" applyFill="1" applyBorder="1" applyAlignment="1">
      <alignment horizontal="center"/>
    </xf>
    <xf numFmtId="0" fontId="53" fillId="16" borderId="39" xfId="7" applyFont="1" applyFill="1" applyBorder="1" applyAlignment="1">
      <alignment horizontal="center"/>
    </xf>
    <xf numFmtId="0" fontId="53" fillId="16" borderId="40" xfId="7" applyFont="1" applyFill="1" applyBorder="1" applyAlignment="1">
      <alignment horizontal="center"/>
    </xf>
    <xf numFmtId="0" fontId="53" fillId="18" borderId="21" xfId="7" applyFont="1" applyFill="1" applyBorder="1" applyAlignment="1">
      <alignment horizontal="center"/>
    </xf>
    <xf numFmtId="0" fontId="53" fillId="18" borderId="39" xfId="7" applyFont="1" applyFill="1" applyBorder="1" applyAlignment="1">
      <alignment horizontal="center"/>
    </xf>
    <xf numFmtId="0" fontId="53" fillId="18" borderId="40" xfId="7" applyFont="1" applyFill="1" applyBorder="1" applyAlignment="1">
      <alignment horizontal="center"/>
    </xf>
    <xf numFmtId="0" fontId="53" fillId="4" borderId="21" xfId="7" applyFont="1" applyFill="1" applyBorder="1" applyAlignment="1">
      <alignment horizontal="center"/>
    </xf>
    <xf numFmtId="0" fontId="53" fillId="4" borderId="39" xfId="7" applyFont="1" applyFill="1" applyBorder="1" applyAlignment="1">
      <alignment horizontal="center"/>
    </xf>
    <xf numFmtId="0" fontId="53" fillId="4" borderId="40" xfId="7" applyFont="1" applyFill="1" applyBorder="1" applyAlignment="1">
      <alignment horizontal="center"/>
    </xf>
    <xf numFmtId="0" fontId="53" fillId="6" borderId="21" xfId="7" applyFont="1" applyFill="1" applyBorder="1" applyAlignment="1">
      <alignment horizontal="center"/>
    </xf>
    <xf numFmtId="0" fontId="53" fillId="6" borderId="39" xfId="7" applyFont="1" applyFill="1" applyBorder="1" applyAlignment="1">
      <alignment horizontal="center"/>
    </xf>
    <xf numFmtId="0" fontId="53" fillId="6" borderId="40" xfId="7" applyFont="1" applyFill="1" applyBorder="1" applyAlignment="1">
      <alignment horizontal="center"/>
    </xf>
    <xf numFmtId="0" fontId="53" fillId="21" borderId="21" xfId="7" applyFont="1" applyFill="1" applyBorder="1" applyAlignment="1">
      <alignment horizontal="center"/>
    </xf>
    <xf numFmtId="0" fontId="53" fillId="21" borderId="39" xfId="7" applyFont="1" applyFill="1" applyBorder="1" applyAlignment="1">
      <alignment horizontal="center"/>
    </xf>
    <xf numFmtId="0" fontId="53" fillId="21" borderId="20" xfId="7" applyFont="1" applyFill="1" applyBorder="1" applyAlignment="1">
      <alignment horizontal="center"/>
    </xf>
    <xf numFmtId="0" fontId="53" fillId="15" borderId="41" xfId="7" applyFont="1" applyFill="1" applyBorder="1" applyAlignment="1">
      <alignment horizontal="center"/>
    </xf>
    <xf numFmtId="0" fontId="53" fillId="15" borderId="42" xfId="7" applyFont="1" applyFill="1" applyBorder="1" applyAlignment="1">
      <alignment horizontal="center"/>
    </xf>
    <xf numFmtId="0" fontId="53" fillId="15" borderId="43" xfId="7" applyFont="1" applyFill="1" applyBorder="1" applyAlignment="1">
      <alignment horizontal="center"/>
    </xf>
    <xf numFmtId="0" fontId="53" fillId="24" borderId="22" xfId="7" applyFont="1" applyFill="1" applyBorder="1" applyAlignment="1">
      <alignment horizontal="right" wrapText="1"/>
    </xf>
    <xf numFmtId="9" fontId="53" fillId="14" borderId="44" xfId="9" applyFont="1" applyFill="1" applyBorder="1" applyAlignment="1">
      <alignment horizontal="center"/>
    </xf>
    <xf numFmtId="0" fontId="53" fillId="16" borderId="45" xfId="7" applyFont="1" applyFill="1" applyBorder="1" applyAlignment="1">
      <alignment horizontal="center"/>
    </xf>
    <xf numFmtId="164" fontId="53" fillId="16" borderId="24" xfId="9" applyNumberFormat="1" applyFont="1" applyFill="1" applyBorder="1" applyAlignment="1">
      <alignment horizontal="center"/>
    </xf>
    <xf numFmtId="44" fontId="53" fillId="16" borderId="46" xfId="7" applyNumberFormat="1" applyFont="1" applyFill="1" applyBorder="1" applyAlignment="1">
      <alignment horizontal="center"/>
    </xf>
    <xf numFmtId="0" fontId="53" fillId="18" borderId="23" xfId="7" applyFont="1" applyFill="1" applyBorder="1" applyAlignment="1">
      <alignment horizontal="center"/>
    </xf>
    <xf numFmtId="164" fontId="53" fillId="18" borderId="24" xfId="9" applyNumberFormat="1" applyFont="1" applyFill="1" applyBorder="1" applyAlignment="1">
      <alignment horizontal="center"/>
    </xf>
    <xf numFmtId="44" fontId="53" fillId="18" borderId="46" xfId="8" applyNumberFormat="1" applyFont="1" applyFill="1" applyBorder="1" applyAlignment="1">
      <alignment horizontal="center"/>
    </xf>
    <xf numFmtId="0" fontId="53" fillId="4" borderId="23" xfId="7" applyFont="1" applyFill="1" applyBorder="1" applyAlignment="1">
      <alignment horizontal="center"/>
    </xf>
    <xf numFmtId="164" fontId="53" fillId="4" borderId="24" xfId="9" applyNumberFormat="1" applyFont="1" applyFill="1" applyBorder="1" applyAlignment="1">
      <alignment horizontal="center"/>
    </xf>
    <xf numFmtId="44" fontId="53" fillId="4" borderId="46" xfId="8" applyFont="1" applyFill="1" applyBorder="1" applyAlignment="1">
      <alignment horizontal="center"/>
    </xf>
    <xf numFmtId="0" fontId="53" fillId="6" borderId="23" xfId="7" applyFont="1" applyFill="1" applyBorder="1" applyAlignment="1">
      <alignment horizontal="center"/>
    </xf>
    <xf numFmtId="164" fontId="53" fillId="6" borderId="24" xfId="9" applyNumberFormat="1" applyFont="1" applyFill="1" applyBorder="1" applyAlignment="1">
      <alignment horizontal="center"/>
    </xf>
    <xf numFmtId="44" fontId="53" fillId="6" borderId="46" xfId="8" applyFont="1" applyFill="1" applyBorder="1" applyAlignment="1">
      <alignment horizontal="center"/>
    </xf>
    <xf numFmtId="0" fontId="53" fillId="21" borderId="23" xfId="7" applyFont="1" applyFill="1" applyBorder="1" applyAlignment="1">
      <alignment horizontal="center"/>
    </xf>
    <xf numFmtId="164" fontId="53" fillId="21" borderId="24" xfId="9" applyNumberFormat="1" applyFont="1" applyFill="1" applyBorder="1" applyAlignment="1">
      <alignment horizontal="center"/>
    </xf>
    <xf numFmtId="44" fontId="53" fillId="21" borderId="46" xfId="8" applyFont="1" applyFill="1" applyBorder="1" applyAlignment="1">
      <alignment horizontal="center"/>
    </xf>
    <xf numFmtId="0" fontId="53" fillId="15" borderId="23" xfId="7" applyFont="1" applyFill="1" applyBorder="1" applyAlignment="1">
      <alignment horizontal="center"/>
    </xf>
    <xf numFmtId="164" fontId="53" fillId="15" borderId="24" xfId="9" applyNumberFormat="1" applyFont="1" applyFill="1" applyBorder="1" applyAlignment="1">
      <alignment horizontal="center"/>
    </xf>
    <xf numFmtId="44" fontId="53" fillId="15" borderId="25" xfId="8" applyFont="1" applyFill="1" applyBorder="1" applyAlignment="1">
      <alignment horizontal="center"/>
    </xf>
    <xf numFmtId="0" fontId="53" fillId="24" borderId="26" xfId="7" applyFont="1" applyFill="1" applyBorder="1" applyAlignment="1">
      <alignment horizontal="right" wrapText="1"/>
    </xf>
    <xf numFmtId="9" fontId="53" fillId="24" borderId="47" xfId="9" applyFont="1" applyFill="1" applyBorder="1" applyAlignment="1">
      <alignment horizontal="center"/>
    </xf>
    <xf numFmtId="0" fontId="53" fillId="16" borderId="6" xfId="7" applyFont="1" applyFill="1" applyBorder="1" applyAlignment="1">
      <alignment horizontal="center"/>
    </xf>
    <xf numFmtId="164" fontId="53" fillId="16" borderId="3" xfId="9" applyNumberFormat="1" applyFont="1" applyFill="1" applyBorder="1" applyAlignment="1">
      <alignment horizontal="center"/>
    </xf>
    <xf numFmtId="44" fontId="53" fillId="16" borderId="4" xfId="7" applyNumberFormat="1" applyFont="1" applyFill="1" applyBorder="1" applyAlignment="1">
      <alignment horizontal="center"/>
    </xf>
    <xf numFmtId="0" fontId="53" fillId="18" borderId="27" xfId="7" applyFont="1" applyFill="1" applyBorder="1" applyAlignment="1">
      <alignment horizontal="center"/>
    </xf>
    <xf numFmtId="164" fontId="53" fillId="14" borderId="3" xfId="9" applyNumberFormat="1" applyFont="1" applyFill="1" applyBorder="1" applyAlignment="1">
      <alignment horizontal="center"/>
    </xf>
    <xf numFmtId="44" fontId="53" fillId="18" borderId="4" xfId="8" applyNumberFormat="1" applyFont="1" applyFill="1" applyBorder="1" applyAlignment="1">
      <alignment horizontal="center"/>
    </xf>
    <xf numFmtId="0" fontId="53" fillId="4" borderId="27" xfId="7" applyFont="1" applyFill="1" applyBorder="1" applyAlignment="1">
      <alignment horizontal="center"/>
    </xf>
    <xf numFmtId="164" fontId="53" fillId="4" borderId="3" xfId="9" applyNumberFormat="1" applyFont="1" applyFill="1" applyBorder="1" applyAlignment="1">
      <alignment horizontal="center"/>
    </xf>
    <xf numFmtId="44" fontId="53" fillId="4" borderId="4" xfId="8" applyFont="1" applyFill="1" applyBorder="1" applyAlignment="1">
      <alignment horizontal="center"/>
    </xf>
    <xf numFmtId="0" fontId="53" fillId="6" borderId="27" xfId="7" applyFont="1" applyFill="1" applyBorder="1" applyAlignment="1">
      <alignment horizontal="center"/>
    </xf>
    <xf numFmtId="164" fontId="53" fillId="6" borderId="3" xfId="9" applyNumberFormat="1" applyFont="1" applyFill="1" applyBorder="1" applyAlignment="1">
      <alignment horizontal="center"/>
    </xf>
    <xf numFmtId="44" fontId="53" fillId="6" borderId="4" xfId="8" applyFont="1" applyFill="1" applyBorder="1" applyAlignment="1">
      <alignment horizontal="center"/>
    </xf>
    <xf numFmtId="0" fontId="53" fillId="21" borderId="27" xfId="7" applyFont="1" applyFill="1" applyBorder="1" applyAlignment="1">
      <alignment horizontal="center"/>
    </xf>
    <xf numFmtId="164" fontId="53" fillId="21" borderId="3" xfId="9" applyNumberFormat="1" applyFont="1" applyFill="1" applyBorder="1" applyAlignment="1">
      <alignment horizontal="center"/>
    </xf>
    <xf numFmtId="44" fontId="53" fillId="21" borderId="4" xfId="8" applyFont="1" applyFill="1" applyBorder="1" applyAlignment="1">
      <alignment horizontal="center"/>
    </xf>
    <xf numFmtId="0" fontId="53" fillId="15" borderId="27" xfId="7" applyFont="1" applyFill="1" applyBorder="1" applyAlignment="1">
      <alignment horizontal="center"/>
    </xf>
    <xf numFmtId="164" fontId="53" fillId="15" borderId="3" xfId="9" applyNumberFormat="1" applyFont="1" applyFill="1" applyBorder="1" applyAlignment="1">
      <alignment horizontal="center"/>
    </xf>
    <xf numFmtId="44" fontId="53" fillId="15" borderId="28" xfId="8" applyFont="1" applyFill="1" applyBorder="1" applyAlignment="1">
      <alignment horizontal="center"/>
    </xf>
    <xf numFmtId="0" fontId="53" fillId="24" borderId="29" xfId="7" applyFont="1" applyFill="1" applyBorder="1" applyAlignment="1">
      <alignment horizontal="right" wrapText="1"/>
    </xf>
    <xf numFmtId="9" fontId="53" fillId="14" borderId="48" xfId="7" applyNumberFormat="1" applyFont="1" applyFill="1" applyBorder="1" applyAlignment="1">
      <alignment horizontal="center"/>
    </xf>
    <xf numFmtId="44" fontId="53" fillId="16" borderId="49" xfId="8" applyNumberFormat="1" applyFont="1" applyFill="1" applyBorder="1" applyAlignment="1">
      <alignment horizontal="center"/>
    </xf>
    <xf numFmtId="164" fontId="53" fillId="16" borderId="31" xfId="9" applyNumberFormat="1" applyFont="1" applyFill="1" applyBorder="1" applyAlignment="1">
      <alignment horizontal="center"/>
    </xf>
    <xf numFmtId="44" fontId="53" fillId="16" borderId="50" xfId="8" applyFont="1" applyFill="1" applyBorder="1" applyAlignment="1">
      <alignment horizontal="center"/>
    </xf>
    <xf numFmtId="44" fontId="53" fillId="18" borderId="30" xfId="8" applyNumberFormat="1" applyFont="1" applyFill="1" applyBorder="1" applyAlignment="1">
      <alignment horizontal="center"/>
    </xf>
    <xf numFmtId="164" fontId="53" fillId="18" borderId="31" xfId="9" applyNumberFormat="1" applyFont="1" applyFill="1" applyBorder="1" applyAlignment="1">
      <alignment horizontal="center"/>
    </xf>
    <xf numFmtId="44" fontId="53" fillId="18" borderId="50" xfId="8" applyNumberFormat="1" applyFont="1" applyFill="1" applyBorder="1" applyAlignment="1">
      <alignment horizontal="center"/>
    </xf>
    <xf numFmtId="202" fontId="53" fillId="4" borderId="30" xfId="8" applyNumberFormat="1" applyFont="1" applyFill="1" applyBorder="1" applyAlignment="1">
      <alignment horizontal="center"/>
    </xf>
    <xf numFmtId="164" fontId="53" fillId="4" borderId="31" xfId="9" applyNumberFormat="1" applyFont="1" applyFill="1" applyBorder="1" applyAlignment="1">
      <alignment horizontal="center"/>
    </xf>
    <xf numFmtId="44" fontId="53" fillId="4" borderId="50" xfId="8" applyFont="1" applyFill="1" applyBorder="1" applyAlignment="1">
      <alignment horizontal="center"/>
    </xf>
    <xf numFmtId="202" fontId="53" fillId="6" borderId="30" xfId="8" applyNumberFormat="1" applyFont="1" applyFill="1" applyBorder="1" applyAlignment="1">
      <alignment horizontal="center"/>
    </xf>
    <xf numFmtId="164" fontId="53" fillId="6" borderId="31" xfId="9" applyNumberFormat="1" applyFont="1" applyFill="1" applyBorder="1" applyAlignment="1">
      <alignment horizontal="center"/>
    </xf>
    <xf numFmtId="44" fontId="53" fillId="6" borderId="50" xfId="8" applyFont="1" applyFill="1" applyBorder="1" applyAlignment="1">
      <alignment horizontal="center"/>
    </xf>
    <xf numFmtId="0" fontId="53" fillId="21" borderId="30" xfId="7" applyFont="1" applyFill="1" applyBorder="1" applyAlignment="1">
      <alignment horizontal="center"/>
    </xf>
    <xf numFmtId="164" fontId="53" fillId="21" borderId="31" xfId="9" applyNumberFormat="1" applyFont="1" applyFill="1" applyBorder="1" applyAlignment="1">
      <alignment horizontal="center"/>
    </xf>
    <xf numFmtId="44" fontId="53" fillId="21" borderId="50" xfId="8" applyFont="1" applyFill="1" applyBorder="1" applyAlignment="1">
      <alignment horizontal="center"/>
    </xf>
    <xf numFmtId="202" fontId="53" fillId="15" borderId="30" xfId="8" applyNumberFormat="1" applyFont="1" applyFill="1" applyBorder="1" applyAlignment="1">
      <alignment horizontal="center"/>
    </xf>
    <xf numFmtId="164" fontId="53" fillId="15" borderId="31" xfId="9" applyNumberFormat="1" applyFont="1" applyFill="1" applyBorder="1" applyAlignment="1">
      <alignment horizontal="center"/>
    </xf>
    <xf numFmtId="44" fontId="53" fillId="15" borderId="32" xfId="8" applyFont="1" applyFill="1" applyBorder="1" applyAlignment="1">
      <alignment horizontal="center"/>
    </xf>
    <xf numFmtId="0" fontId="53" fillId="16" borderId="51" xfId="7" applyFont="1" applyFill="1" applyBorder="1" applyAlignment="1">
      <alignment horizontal="right"/>
    </xf>
    <xf numFmtId="0" fontId="53" fillId="24" borderId="16" xfId="7" applyFont="1" applyFill="1" applyBorder="1" applyAlignment="1">
      <alignment horizontal="center"/>
    </xf>
    <xf numFmtId="44" fontId="53" fillId="16" borderId="52" xfId="8" applyNumberFormat="1" applyFont="1" applyFill="1" applyBorder="1" applyAlignment="1">
      <alignment horizontal="center"/>
    </xf>
    <xf numFmtId="164" fontId="53" fillId="16" borderId="14" xfId="9" applyNumberFormat="1" applyFont="1" applyFill="1" applyBorder="1" applyAlignment="1">
      <alignment horizontal="center"/>
    </xf>
    <xf numFmtId="44" fontId="53" fillId="16" borderId="15" xfId="8" applyFont="1" applyFill="1" applyBorder="1" applyAlignment="1">
      <alignment horizontal="center"/>
    </xf>
    <xf numFmtId="44" fontId="53" fillId="18" borderId="52" xfId="8" applyNumberFormat="1" applyFont="1" applyFill="1" applyBorder="1" applyAlignment="1">
      <alignment horizontal="center"/>
    </xf>
    <xf numFmtId="164" fontId="53" fillId="18" borderId="14" xfId="9" applyNumberFormat="1" applyFont="1" applyFill="1" applyBorder="1" applyAlignment="1">
      <alignment horizontal="center"/>
    </xf>
    <xf numFmtId="44" fontId="53" fillId="18" borderId="15" xfId="8" applyNumberFormat="1" applyFont="1" applyFill="1" applyBorder="1" applyAlignment="1">
      <alignment horizontal="center"/>
    </xf>
    <xf numFmtId="202" fontId="53" fillId="4" borderId="52" xfId="8" applyNumberFormat="1" applyFont="1" applyFill="1" applyBorder="1" applyAlignment="1">
      <alignment horizontal="center"/>
    </xf>
    <xf numFmtId="164" fontId="53" fillId="4" borderId="14" xfId="9" applyNumberFormat="1" applyFont="1" applyFill="1" applyBorder="1" applyAlignment="1">
      <alignment horizontal="center"/>
    </xf>
    <xf numFmtId="44" fontId="53" fillId="4" borderId="15" xfId="8" applyFont="1" applyFill="1" applyBorder="1" applyAlignment="1">
      <alignment horizontal="center"/>
    </xf>
    <xf numFmtId="202" fontId="53" fillId="6" borderId="52" xfId="8" applyNumberFormat="1" applyFont="1" applyFill="1" applyBorder="1" applyAlignment="1">
      <alignment horizontal="center"/>
    </xf>
    <xf numFmtId="164" fontId="53" fillId="6" borderId="14" xfId="9" applyNumberFormat="1" applyFont="1" applyFill="1" applyBorder="1" applyAlignment="1">
      <alignment horizontal="center"/>
    </xf>
    <xf numFmtId="44" fontId="53" fillId="6" borderId="15" xfId="8" applyFont="1" applyFill="1" applyBorder="1" applyAlignment="1">
      <alignment horizontal="center"/>
    </xf>
    <xf numFmtId="0" fontId="53" fillId="21" borderId="52" xfId="7" applyFont="1" applyFill="1" applyBorder="1" applyAlignment="1">
      <alignment horizontal="center"/>
    </xf>
    <xf numFmtId="164" fontId="53" fillId="21" borderId="14" xfId="9" applyNumberFormat="1" applyFont="1" applyFill="1" applyBorder="1" applyAlignment="1">
      <alignment horizontal="center"/>
    </xf>
    <xf numFmtId="44" fontId="53" fillId="21" borderId="15" xfId="8" applyFont="1" applyFill="1" applyBorder="1" applyAlignment="1">
      <alignment horizontal="center"/>
    </xf>
    <xf numFmtId="202" fontId="53" fillId="15" borderId="52" xfId="8" applyNumberFormat="1" applyFont="1" applyFill="1" applyBorder="1" applyAlignment="1">
      <alignment horizontal="center"/>
    </xf>
    <xf numFmtId="164" fontId="53" fillId="15" borderId="14" xfId="9" applyNumberFormat="1" applyFont="1" applyFill="1" applyBorder="1" applyAlignment="1">
      <alignment horizontal="center"/>
    </xf>
    <xf numFmtId="44" fontId="53" fillId="15" borderId="53" xfId="8" applyFont="1" applyFill="1" applyBorder="1" applyAlignment="1">
      <alignment horizontal="center"/>
    </xf>
    <xf numFmtId="0" fontId="53" fillId="5" borderId="47" xfId="7" applyFont="1" applyFill="1" applyBorder="1" applyAlignment="1">
      <alignment horizontal="right"/>
    </xf>
    <xf numFmtId="0" fontId="53" fillId="24" borderId="5" xfId="7" applyFont="1" applyFill="1" applyBorder="1" applyAlignment="1">
      <alignment horizontal="center"/>
    </xf>
    <xf numFmtId="44" fontId="53" fillId="16" borderId="27" xfId="8" applyNumberFormat="1" applyFont="1" applyFill="1" applyBorder="1" applyAlignment="1">
      <alignment horizontal="center"/>
    </xf>
    <xf numFmtId="9" fontId="53" fillId="16" borderId="4" xfId="9" applyFont="1" applyFill="1" applyBorder="1" applyAlignment="1">
      <alignment horizontal="center"/>
    </xf>
    <xf numFmtId="44" fontId="53" fillId="18" borderId="27" xfId="8" applyNumberFormat="1" applyFont="1" applyFill="1" applyBorder="1" applyAlignment="1">
      <alignment horizontal="center"/>
    </xf>
    <xf numFmtId="164" fontId="53" fillId="18" borderId="3" xfId="9" applyNumberFormat="1" applyFont="1" applyFill="1" applyBorder="1" applyAlignment="1">
      <alignment horizontal="center"/>
    </xf>
    <xf numFmtId="202" fontId="53" fillId="4" borderId="27" xfId="8" applyNumberFormat="1" applyFont="1" applyFill="1" applyBorder="1" applyAlignment="1">
      <alignment horizontal="center"/>
    </xf>
    <xf numFmtId="202" fontId="53" fillId="6" borderId="27" xfId="8" applyNumberFormat="1" applyFont="1" applyFill="1" applyBorder="1" applyAlignment="1">
      <alignment horizontal="center"/>
    </xf>
    <xf numFmtId="202" fontId="53" fillId="15" borderId="27" xfId="8" applyNumberFormat="1" applyFont="1" applyFill="1" applyBorder="1" applyAlignment="1">
      <alignment horizontal="center"/>
    </xf>
    <xf numFmtId="0" fontId="53" fillId="4" borderId="47" xfId="7" applyFont="1" applyFill="1" applyBorder="1" applyAlignment="1">
      <alignment horizontal="right"/>
    </xf>
    <xf numFmtId="0" fontId="53" fillId="6" borderId="47" xfId="7" applyFont="1" applyFill="1" applyBorder="1" applyAlignment="1">
      <alignment horizontal="right"/>
    </xf>
    <xf numFmtId="0" fontId="53" fillId="21" borderId="47" xfId="7" applyFont="1" applyFill="1" applyBorder="1" applyAlignment="1">
      <alignment horizontal="right"/>
    </xf>
    <xf numFmtId="202" fontId="53" fillId="21" borderId="27" xfId="7" applyNumberFormat="1" applyFont="1" applyFill="1" applyBorder="1" applyAlignment="1">
      <alignment horizontal="center"/>
    </xf>
    <xf numFmtId="0" fontId="53" fillId="23" borderId="48" xfId="7" applyFont="1" applyFill="1" applyBorder="1" applyAlignment="1">
      <alignment horizontal="right"/>
    </xf>
    <xf numFmtId="0" fontId="53" fillId="24" borderId="54" xfId="7" applyFont="1" applyFill="1" applyBorder="1" applyAlignment="1">
      <alignment horizontal="center"/>
    </xf>
    <xf numFmtId="44" fontId="53" fillId="16" borderId="30" xfId="8" applyNumberFormat="1" applyFont="1" applyFill="1" applyBorder="1" applyAlignment="1">
      <alignment horizontal="center"/>
    </xf>
    <xf numFmtId="9" fontId="53" fillId="16" borderId="50" xfId="9" applyFont="1" applyFill="1" applyBorder="1" applyAlignment="1">
      <alignment horizontal="center"/>
    </xf>
    <xf numFmtId="0" fontId="44" fillId="0" borderId="0" xfId="7" applyFont="1" applyAlignment="1">
      <alignment horizontal="center"/>
    </xf>
    <xf numFmtId="9" fontId="44" fillId="0" borderId="0" xfId="7" applyNumberFormat="1" applyFont="1" applyAlignment="1">
      <alignment horizontal="center"/>
    </xf>
    <xf numFmtId="44" fontId="44" fillId="0" borderId="0" xfId="8" applyNumberFormat="1" applyFont="1" applyAlignment="1">
      <alignment horizontal="center"/>
    </xf>
    <xf numFmtId="44" fontId="44" fillId="0" borderId="0" xfId="7" applyNumberFormat="1" applyFont="1" applyAlignment="1">
      <alignment horizontal="center"/>
    </xf>
    <xf numFmtId="10" fontId="44" fillId="0" borderId="0" xfId="7" applyNumberFormat="1" applyFont="1" applyAlignment="1">
      <alignment horizontal="center"/>
    </xf>
    <xf numFmtId="202" fontId="44" fillId="0" borderId="0" xfId="8" applyNumberFormat="1" applyFont="1" applyAlignment="1">
      <alignment horizontal="center"/>
    </xf>
    <xf numFmtId="44" fontId="44" fillId="0" borderId="0" xfId="8" applyFont="1" applyAlignment="1">
      <alignment horizontal="center"/>
    </xf>
    <xf numFmtId="164" fontId="44" fillId="0" borderId="0" xfId="7" applyNumberFormat="1" applyFont="1" applyAlignment="1">
      <alignment horizontal="center"/>
    </xf>
    <xf numFmtId="0" fontId="53" fillId="0" borderId="8" xfId="7" applyFont="1" applyBorder="1" applyAlignment="1">
      <alignment horizontal="right"/>
    </xf>
    <xf numFmtId="0" fontId="53" fillId="0" borderId="9" xfId="7" applyFont="1" applyBorder="1" applyAlignment="1">
      <alignment horizontal="center"/>
    </xf>
    <xf numFmtId="44" fontId="53" fillId="0" borderId="9" xfId="8" applyNumberFormat="1" applyFont="1" applyFill="1" applyBorder="1" applyAlignment="1">
      <alignment horizontal="center"/>
    </xf>
    <xf numFmtId="0" fontId="53" fillId="0" borderId="9" xfId="7" applyFont="1" applyFill="1" applyBorder="1" applyAlignment="1">
      <alignment horizontal="center"/>
    </xf>
    <xf numFmtId="204" fontId="53" fillId="0" borderId="9" xfId="7" applyNumberFormat="1" applyFont="1" applyFill="1" applyBorder="1" applyAlignment="1">
      <alignment horizontal="center"/>
    </xf>
    <xf numFmtId="202" fontId="53" fillId="0" borderId="9" xfId="8" applyNumberFormat="1" applyFont="1" applyFill="1" applyBorder="1" applyAlignment="1">
      <alignment horizontal="center"/>
    </xf>
    <xf numFmtId="10" fontId="53" fillId="0" borderId="9" xfId="7" applyNumberFormat="1" applyFont="1" applyFill="1" applyBorder="1" applyAlignment="1">
      <alignment horizontal="center"/>
    </xf>
    <xf numFmtId="203" fontId="53" fillId="0" borderId="9" xfId="7" applyNumberFormat="1" applyFont="1" applyBorder="1" applyAlignment="1">
      <alignment horizontal="center"/>
    </xf>
    <xf numFmtId="0" fontId="53" fillId="0" borderId="10" xfId="7" applyFont="1" applyBorder="1" applyAlignment="1">
      <alignment horizontal="center"/>
    </xf>
    <xf numFmtId="0" fontId="44" fillId="0" borderId="0" xfId="7" applyAlignment="1">
      <alignment horizontal="center"/>
    </xf>
    <xf numFmtId="0" fontId="53" fillId="0" borderId="15" xfId="7" applyFont="1" applyBorder="1" applyAlignment="1">
      <alignment horizontal="right"/>
    </xf>
    <xf numFmtId="0" fontId="53" fillId="0" borderId="16" xfId="7" applyFont="1" applyBorder="1" applyAlignment="1">
      <alignment horizontal="center"/>
    </xf>
    <xf numFmtId="44" fontId="53" fillId="0" borderId="16" xfId="8" applyNumberFormat="1" applyFont="1" applyFill="1" applyBorder="1" applyAlignment="1">
      <alignment horizontal="center"/>
    </xf>
    <xf numFmtId="0" fontId="53" fillId="0" borderId="16" xfId="7" applyFont="1" applyFill="1" applyBorder="1" applyAlignment="1">
      <alignment horizontal="center"/>
    </xf>
    <xf numFmtId="202" fontId="53" fillId="0" borderId="16" xfId="8" applyNumberFormat="1" applyFont="1" applyFill="1" applyBorder="1" applyAlignment="1">
      <alignment horizontal="center"/>
    </xf>
    <xf numFmtId="202" fontId="53" fillId="0" borderId="16" xfId="7" applyNumberFormat="1" applyFont="1" applyBorder="1" applyAlignment="1">
      <alignment horizontal="center"/>
    </xf>
    <xf numFmtId="202" fontId="53" fillId="0" borderId="16" xfId="8" applyNumberFormat="1" applyFont="1" applyBorder="1" applyAlignment="1">
      <alignment horizontal="center"/>
    </xf>
    <xf numFmtId="0" fontId="53" fillId="0" borderId="17" xfId="7" applyFont="1" applyBorder="1" applyAlignment="1">
      <alignment horizontal="center"/>
    </xf>
    <xf numFmtId="202" fontId="53" fillId="0" borderId="0" xfId="8" applyNumberFormat="1" applyFont="1"/>
    <xf numFmtId="0" fontId="44" fillId="0" borderId="0" xfId="7" applyFont="1"/>
    <xf numFmtId="205" fontId="43" fillId="13" borderId="9" xfId="0" applyNumberFormat="1" applyFont="1" applyFill="1" applyBorder="1" applyAlignment="1" applyProtection="1">
      <alignment horizontal="center"/>
      <protection hidden="1"/>
    </xf>
    <xf numFmtId="37" fontId="54" fillId="0" borderId="0" xfId="0" applyFont="1"/>
    <xf numFmtId="37" fontId="54" fillId="0" borderId="0" xfId="0" applyFont="1" applyAlignment="1">
      <alignment vertical="center"/>
    </xf>
    <xf numFmtId="37" fontId="32" fillId="0" borderId="0" xfId="0" applyFont="1" applyBorder="1"/>
    <xf numFmtId="39" fontId="28" fillId="10" borderId="0" xfId="0" applyNumberFormat="1" applyFont="1" applyFill="1"/>
    <xf numFmtId="164" fontId="28" fillId="0" borderId="0" xfId="4" applyNumberFormat="1" applyFont="1"/>
    <xf numFmtId="164" fontId="28" fillId="0" borderId="0" xfId="0" applyNumberFormat="1" applyFont="1"/>
    <xf numFmtId="15" fontId="55" fillId="13" borderId="9" xfId="0" applyNumberFormat="1" applyFont="1" applyFill="1" applyBorder="1" applyAlignment="1" applyProtection="1">
      <alignment horizontal="left"/>
      <protection hidden="1"/>
    </xf>
    <xf numFmtId="206" fontId="56" fillId="0" borderId="0" xfId="0" applyNumberFormat="1" applyFont="1" applyAlignment="1">
      <alignment vertical="center"/>
    </xf>
    <xf numFmtId="37" fontId="56" fillId="0" borderId="0" xfId="0" applyFont="1" applyAlignment="1">
      <alignment vertical="center"/>
    </xf>
    <xf numFmtId="37" fontId="56" fillId="0" borderId="0" xfId="0" applyFont="1"/>
    <xf numFmtId="15" fontId="55" fillId="13" borderId="9" xfId="0" applyNumberFormat="1" applyFont="1" applyFill="1" applyBorder="1" applyAlignment="1" applyProtection="1">
      <alignment horizontal="left" wrapText="1"/>
      <protection hidden="1"/>
    </xf>
    <xf numFmtId="15" fontId="55" fillId="12" borderId="0" xfId="0" applyNumberFormat="1" applyFont="1" applyFill="1" applyBorder="1" applyAlignment="1" applyProtection="1">
      <alignment horizontal="left"/>
      <protection hidden="1"/>
    </xf>
    <xf numFmtId="37" fontId="28" fillId="0" borderId="0" xfId="0" applyFont="1" applyBorder="1"/>
    <xf numFmtId="207" fontId="28" fillId="0" borderId="0" xfId="0" applyNumberFormat="1" applyFont="1"/>
    <xf numFmtId="37" fontId="57" fillId="0" borderId="0" xfId="0" applyFont="1"/>
    <xf numFmtId="37" fontId="57" fillId="10" borderId="0" xfId="0" applyFont="1" applyFill="1"/>
    <xf numFmtId="39" fontId="57" fillId="0" borderId="0" xfId="0" applyNumberFormat="1" applyFont="1"/>
    <xf numFmtId="207" fontId="28" fillId="0" borderId="16" xfId="0" applyNumberFormat="1" applyFont="1" applyBorder="1"/>
    <xf numFmtId="207" fontId="28" fillId="0" borderId="0" xfId="0" applyNumberFormat="1" applyFont="1" applyBorder="1"/>
    <xf numFmtId="9" fontId="28" fillId="0" borderId="16" xfId="4" applyFont="1" applyBorder="1"/>
    <xf numFmtId="187" fontId="28" fillId="0" borderId="12" xfId="0" applyNumberFormat="1" applyFont="1" applyBorder="1"/>
    <xf numFmtId="39" fontId="28" fillId="0" borderId="12" xfId="0" applyNumberFormat="1" applyFont="1" applyBorder="1"/>
    <xf numFmtId="1" fontId="55" fillId="12" borderId="0" xfId="0" applyNumberFormat="1" applyFont="1" applyFill="1" applyBorder="1" applyAlignment="1" applyProtection="1">
      <alignment horizontal="center"/>
      <protection hidden="1"/>
    </xf>
    <xf numFmtId="200" fontId="40" fillId="2" borderId="0" xfId="0" applyNumberFormat="1" applyFont="1" applyFill="1" applyBorder="1" applyProtection="1">
      <protection locked="0"/>
    </xf>
    <xf numFmtId="39" fontId="28" fillId="25" borderId="0" xfId="0" applyNumberFormat="1" applyFont="1" applyFill="1"/>
    <xf numFmtId="10" fontId="28" fillId="0" borderId="0" xfId="4" applyNumberFormat="1" applyFont="1"/>
    <xf numFmtId="37" fontId="28" fillId="12" borderId="0" xfId="0" applyFont="1" applyFill="1"/>
    <xf numFmtId="37" fontId="55" fillId="12" borderId="0" xfId="0" applyFont="1" applyFill="1"/>
    <xf numFmtId="1" fontId="55" fillId="12" borderId="0" xfId="0" applyNumberFormat="1" applyFont="1" applyFill="1"/>
    <xf numFmtId="208" fontId="28" fillId="0" borderId="0" xfId="0" applyNumberFormat="1" applyFont="1"/>
    <xf numFmtId="14" fontId="28" fillId="0" borderId="0" xfId="0" applyNumberFormat="1" applyFont="1"/>
    <xf numFmtId="37" fontId="44" fillId="26" borderId="16" xfId="0" applyFont="1" applyFill="1" applyBorder="1"/>
    <xf numFmtId="209" fontId="44" fillId="0" borderId="0" xfId="0" applyNumberFormat="1" applyFont="1" applyBorder="1"/>
    <xf numFmtId="210" fontId="44" fillId="0" borderId="0" xfId="0" applyNumberFormat="1" applyFont="1" applyBorder="1"/>
    <xf numFmtId="39" fontId="58" fillId="0" borderId="0" xfId="0" applyNumberFormat="1" applyFont="1"/>
    <xf numFmtId="39" fontId="58" fillId="0" borderId="16" xfId="0" applyNumberFormat="1" applyFont="1" applyBorder="1"/>
    <xf numFmtId="187" fontId="58" fillId="0" borderId="0" xfId="0" applyNumberFormat="1" applyFont="1"/>
    <xf numFmtId="187" fontId="58" fillId="0" borderId="0" xfId="0" applyNumberFormat="1" applyFont="1" applyBorder="1"/>
    <xf numFmtId="187" fontId="58" fillId="0" borderId="5" xfId="0" applyNumberFormat="1" applyFont="1" applyBorder="1"/>
    <xf numFmtId="39" fontId="28" fillId="0" borderId="0" xfId="0" applyNumberFormat="1" applyFont="1" applyBorder="1"/>
    <xf numFmtId="37" fontId="60" fillId="0" borderId="0" xfId="0" applyFont="1"/>
    <xf numFmtId="187" fontId="60" fillId="0" borderId="0" xfId="0" applyNumberFormat="1" applyFont="1"/>
    <xf numFmtId="37" fontId="60" fillId="0" borderId="16" xfId="0" applyFont="1" applyBorder="1"/>
    <xf numFmtId="39" fontId="60" fillId="0" borderId="16" xfId="0" applyNumberFormat="1" applyFont="1" applyBorder="1"/>
    <xf numFmtId="37" fontId="60" fillId="0" borderId="0" xfId="0" applyFont="1" applyAlignment="1">
      <alignment horizontal="right"/>
    </xf>
    <xf numFmtId="39" fontId="60" fillId="0" borderId="0" xfId="0" applyNumberFormat="1" applyFont="1"/>
    <xf numFmtId="37" fontId="60" fillId="0" borderId="16" xfId="0" applyFont="1" applyBorder="1" applyAlignment="1">
      <alignment horizontal="right"/>
    </xf>
    <xf numFmtId="37" fontId="60" fillId="0" borderId="0" xfId="0" applyFont="1" applyBorder="1" applyAlignment="1">
      <alignment horizontal="right"/>
    </xf>
    <xf numFmtId="37" fontId="60" fillId="0" borderId="0" xfId="0" applyFont="1" applyBorder="1"/>
    <xf numFmtId="39" fontId="60" fillId="0" borderId="0" xfId="0" applyNumberFormat="1" applyFont="1" applyBorder="1"/>
    <xf numFmtId="37" fontId="61" fillId="0" borderId="0" xfId="0" applyFont="1"/>
    <xf numFmtId="39" fontId="61" fillId="0" borderId="0" xfId="0" applyNumberFormat="1" applyFont="1"/>
    <xf numFmtId="37" fontId="60" fillId="10" borderId="16" xfId="0" applyFont="1" applyFill="1" applyBorder="1"/>
    <xf numFmtId="9" fontId="60" fillId="10" borderId="16" xfId="4" applyFont="1" applyFill="1" applyBorder="1"/>
    <xf numFmtId="164" fontId="61" fillId="10" borderId="0" xfId="0" applyNumberFormat="1" applyFont="1" applyFill="1"/>
    <xf numFmtId="164" fontId="61" fillId="10" borderId="0" xfId="0" applyNumberFormat="1" applyFont="1" applyFill="1" applyBorder="1"/>
    <xf numFmtId="164" fontId="61" fillId="10" borderId="0" xfId="4" applyNumberFormat="1" applyFont="1" applyFill="1"/>
    <xf numFmtId="186" fontId="60" fillId="0" borderId="0" xfId="0" applyNumberFormat="1" applyFont="1"/>
    <xf numFmtId="15" fontId="59" fillId="27" borderId="0" xfId="0" applyNumberFormat="1" applyFont="1" applyFill="1" applyBorder="1" applyAlignment="1" applyProtection="1">
      <alignment horizontal="left"/>
      <protection hidden="1"/>
    </xf>
    <xf numFmtId="37" fontId="59" fillId="27" borderId="0" xfId="0" applyFont="1" applyFill="1" applyBorder="1" applyAlignment="1" applyProtection="1">
      <protection hidden="1"/>
    </xf>
    <xf numFmtId="1" fontId="59" fillId="27" borderId="0" xfId="0" applyNumberFormat="1" applyFont="1" applyFill="1" applyBorder="1" applyAlignment="1" applyProtection="1">
      <alignment horizontal="center"/>
      <protection hidden="1"/>
    </xf>
    <xf numFmtId="15" fontId="55" fillId="27" borderId="0" xfId="0" applyNumberFormat="1" applyFont="1" applyFill="1" applyBorder="1" applyAlignment="1" applyProtection="1">
      <alignment horizontal="left"/>
      <protection hidden="1"/>
    </xf>
    <xf numFmtId="37" fontId="55" fillId="27" borderId="0" xfId="0" applyFont="1" applyFill="1" applyBorder="1" applyAlignment="1" applyProtection="1">
      <protection hidden="1"/>
    </xf>
    <xf numFmtId="1" fontId="55" fillId="27" borderId="0" xfId="0" applyNumberFormat="1" applyFont="1" applyFill="1" applyBorder="1" applyAlignment="1" applyProtection="1">
      <alignment horizontal="center"/>
      <protection hidden="1"/>
    </xf>
    <xf numFmtId="15" fontId="55" fillId="27" borderId="0" xfId="0" applyNumberFormat="1" applyFont="1" applyFill="1" applyBorder="1" applyAlignment="1" applyProtection="1">
      <alignment horizontal="right"/>
      <protection hidden="1"/>
    </xf>
    <xf numFmtId="187" fontId="28" fillId="0" borderId="0" xfId="0" applyNumberFormat="1" applyFont="1" applyBorder="1"/>
    <xf numFmtId="188" fontId="28" fillId="0" borderId="0" xfId="0" applyNumberFormat="1" applyFont="1"/>
    <xf numFmtId="9" fontId="28" fillId="0" borderId="0" xfId="4" applyNumberFormat="1" applyFont="1"/>
    <xf numFmtId="187" fontId="28" fillId="10" borderId="0" xfId="0" applyNumberFormat="1" applyFont="1" applyFill="1"/>
    <xf numFmtId="37" fontId="46" fillId="27" borderId="0" xfId="0" applyFont="1" applyFill="1"/>
    <xf numFmtId="37" fontId="46" fillId="27" borderId="0" xfId="0" applyFont="1" applyFill="1" applyAlignment="1">
      <alignment horizontal="right"/>
    </xf>
    <xf numFmtId="37" fontId="45" fillId="27" borderId="0" xfId="0" applyFont="1" applyFill="1"/>
    <xf numFmtId="37" fontId="46" fillId="27" borderId="0" xfId="0" applyFont="1" applyFill="1" applyAlignment="1">
      <alignment horizontal="left"/>
    </xf>
    <xf numFmtId="0" fontId="52" fillId="15" borderId="36" xfId="7" applyFont="1" applyFill="1" applyBorder="1" applyAlignment="1">
      <alignment horizontal="center"/>
    </xf>
    <xf numFmtId="0" fontId="52" fillId="15" borderId="37" xfId="7" applyFont="1" applyFill="1" applyBorder="1" applyAlignment="1">
      <alignment horizontal="center"/>
    </xf>
    <xf numFmtId="0" fontId="52" fillId="15" borderId="38" xfId="7" applyFont="1" applyFill="1" applyBorder="1" applyAlignment="1">
      <alignment horizontal="center"/>
    </xf>
    <xf numFmtId="0" fontId="52" fillId="16" borderId="36" xfId="7" applyFont="1" applyFill="1" applyBorder="1" applyAlignment="1">
      <alignment horizontal="center"/>
    </xf>
    <xf numFmtId="0" fontId="52" fillId="16" borderId="37" xfId="7" applyFont="1" applyFill="1" applyBorder="1" applyAlignment="1">
      <alignment horizontal="center"/>
    </xf>
    <xf numFmtId="0" fontId="52" fillId="16" borderId="38" xfId="7" applyFont="1" applyFill="1" applyBorder="1" applyAlignment="1">
      <alignment horizontal="center"/>
    </xf>
    <xf numFmtId="0" fontId="52" fillId="18" borderId="36" xfId="7" applyFont="1" applyFill="1" applyBorder="1" applyAlignment="1">
      <alignment horizontal="center"/>
    </xf>
    <xf numFmtId="0" fontId="52" fillId="18" borderId="37" xfId="7" applyFont="1" applyFill="1" applyBorder="1" applyAlignment="1">
      <alignment horizontal="center"/>
    </xf>
    <xf numFmtId="0" fontId="52" fillId="18" borderId="38" xfId="7" applyFont="1" applyFill="1" applyBorder="1" applyAlignment="1">
      <alignment horizontal="center"/>
    </xf>
    <xf numFmtId="0" fontId="52" fillId="19" borderId="36" xfId="7" applyFont="1" applyFill="1" applyBorder="1" applyAlignment="1">
      <alignment horizontal="center"/>
    </xf>
    <xf numFmtId="0" fontId="52" fillId="19" borderId="37" xfId="7" applyFont="1" applyFill="1" applyBorder="1" applyAlignment="1">
      <alignment horizontal="center"/>
    </xf>
    <xf numFmtId="0" fontId="52" fillId="19" borderId="38" xfId="7" applyFont="1" applyFill="1" applyBorder="1" applyAlignment="1">
      <alignment horizontal="center"/>
    </xf>
    <xf numFmtId="0" fontId="52" fillId="20" borderId="36" xfId="7" applyFont="1" applyFill="1" applyBorder="1" applyAlignment="1">
      <alignment horizontal="center"/>
    </xf>
    <xf numFmtId="0" fontId="52" fillId="20" borderId="37" xfId="7" applyFont="1" applyFill="1" applyBorder="1" applyAlignment="1">
      <alignment horizontal="center"/>
    </xf>
    <xf numFmtId="0" fontId="52" fillId="20" borderId="38" xfId="7" applyFont="1" applyFill="1" applyBorder="1" applyAlignment="1">
      <alignment horizontal="center"/>
    </xf>
    <xf numFmtId="0" fontId="52" fillId="22" borderId="36" xfId="7" applyFont="1" applyFill="1" applyBorder="1" applyAlignment="1">
      <alignment horizontal="center"/>
    </xf>
    <xf numFmtId="0" fontId="52" fillId="22" borderId="37" xfId="7" applyFont="1" applyFill="1" applyBorder="1" applyAlignment="1">
      <alignment horizontal="center"/>
    </xf>
    <xf numFmtId="0" fontId="52" fillId="22" borderId="38" xfId="7" applyFont="1" applyFill="1" applyBorder="1" applyAlignment="1">
      <alignment horizontal="center"/>
    </xf>
  </cellXfs>
  <cellStyles count="10">
    <cellStyle name="Currency [0]" xfId="5" builtinId="7"/>
    <cellStyle name="Normal" xfId="0" builtinId="0"/>
    <cellStyle name="Normal_Assumptions" xfId="1"/>
    <cellStyle name="Normal_Summary Statements" xfId="2"/>
    <cellStyle name="Normal_Table of Contents" xfId="3"/>
    <cellStyle name="Percent" xfId="4" builtinId="5"/>
    <cellStyle name="Prozent 2" xfId="9"/>
    <cellStyle name="Standard 2" xfId="6"/>
    <cellStyle name="Standard 3" xfId="7"/>
    <cellStyle name="Währung 2" xfId="8"/>
  </cellStyles>
  <dxfs count="2">
    <dxf>
      <fill>
        <patternFill>
          <bgColor rgb="FFFFC7CE"/>
        </patternFill>
      </fill>
    </dxf>
    <dxf>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DIN Alternate" panose="020B0500000000000000" pitchFamily="34" charset="0"/>
                <a:ea typeface="+mn-ea"/>
                <a:cs typeface="Arial" panose="020B0604020202020204" pitchFamily="34" charset="0"/>
              </a:defRPr>
            </a:pPr>
            <a:r>
              <a:rPr lang="de-DE"/>
              <a:t>REVENUE / EBITDA</a:t>
            </a:r>
          </a:p>
        </c:rich>
      </c:tx>
      <c:layout>
        <c:manualLayout>
          <c:xMode val="edge"/>
          <c:yMode val="edge"/>
          <c:x val="0.3332328630970855"/>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DIN Alternate" panose="020B0500000000000000"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1"/>
          <c:tx>
            <c:strRef>
              <c:f>'Summary Tables'!$B$15:$C$15</c:f>
              <c:strCache>
                <c:ptCount val="2"/>
                <c:pt idx="0">
                  <c:v>EBITDA</c:v>
                </c:pt>
                <c:pt idx="1">
                  <c:v>$m</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'Summary Tables'!$D$7:$H$7</c:f>
              <c:numCache>
                <c:formatCode>0</c:formatCode>
                <c:ptCount val="5"/>
                <c:pt idx="0">
                  <c:v>2019</c:v>
                </c:pt>
                <c:pt idx="1">
                  <c:v>2020</c:v>
                </c:pt>
                <c:pt idx="2">
                  <c:v>2021</c:v>
                </c:pt>
                <c:pt idx="3">
                  <c:v>2022</c:v>
                </c:pt>
                <c:pt idx="4">
                  <c:v>2023</c:v>
                </c:pt>
              </c:numCache>
            </c:numRef>
          </c:cat>
          <c:val>
            <c:numRef>
              <c:f>'Summary Tables'!$D$15:$H$15</c:f>
              <c:numCache>
                <c:formatCode>#,##0.00_);\(#,##0.00\)</c:formatCode>
                <c:ptCount val="5"/>
                <c:pt idx="0">
                  <c:v>-0.2744014766666667</c:v>
                </c:pt>
                <c:pt idx="1">
                  <c:v>-3.0444249999999069E-2</c:v>
                </c:pt>
                <c:pt idx="2">
                  <c:v>1.8414372583333329</c:v>
                </c:pt>
                <c:pt idx="3">
                  <c:v>3.3466500676666664</c:v>
                </c:pt>
                <c:pt idx="4">
                  <c:v>4.0708162806666683</c:v>
                </c:pt>
              </c:numCache>
            </c:numRef>
          </c:val>
          <c:extLst>
            <c:ext xmlns:c16="http://schemas.microsoft.com/office/drawing/2014/chart" uri="{C3380CC4-5D6E-409C-BE32-E72D297353CC}">
              <c16:uniqueId val="{00000002-1537-4690-B6A3-37852F41CECD}"/>
            </c:ext>
          </c:extLst>
        </c:ser>
        <c:dLbls>
          <c:showLegendKey val="0"/>
          <c:showVal val="0"/>
          <c:showCatName val="0"/>
          <c:showSerName val="0"/>
          <c:showPercent val="0"/>
          <c:showBubbleSize val="0"/>
        </c:dLbls>
        <c:gapWidth val="150"/>
        <c:axId val="550200608"/>
        <c:axId val="550200936"/>
      </c:barChart>
      <c:lineChart>
        <c:grouping val="standard"/>
        <c:varyColors val="0"/>
        <c:ser>
          <c:idx val="1"/>
          <c:order val="0"/>
          <c:tx>
            <c:strRef>
              <c:f>'Summary Tables'!$B$11:$C$11</c:f>
              <c:strCache>
                <c:ptCount val="2"/>
                <c:pt idx="0">
                  <c:v>Revenue</c:v>
                </c:pt>
                <c:pt idx="1">
                  <c:v>$m</c:v>
                </c:pt>
              </c:strCache>
            </c:strRef>
          </c:tx>
          <c:spPr>
            <a:ln w="15875" cap="rnd">
              <a:solidFill>
                <a:schemeClr val="accent4"/>
              </a:solid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'Summary Tables'!$D$7:$H$7</c:f>
              <c:numCache>
                <c:formatCode>0</c:formatCode>
                <c:ptCount val="5"/>
                <c:pt idx="0">
                  <c:v>2019</c:v>
                </c:pt>
                <c:pt idx="1">
                  <c:v>2020</c:v>
                </c:pt>
                <c:pt idx="2">
                  <c:v>2021</c:v>
                </c:pt>
                <c:pt idx="3">
                  <c:v>2022</c:v>
                </c:pt>
                <c:pt idx="4">
                  <c:v>2023</c:v>
                </c:pt>
              </c:numCache>
            </c:numRef>
          </c:cat>
          <c:val>
            <c:numRef>
              <c:f>'Summary Tables'!$D$11:$H$11</c:f>
              <c:numCache>
                <c:formatCode>#,##0.00_);\(#,##0.00\)</c:formatCode>
                <c:ptCount val="5"/>
                <c:pt idx="0">
                  <c:v>0.37012499999999998</c:v>
                </c:pt>
                <c:pt idx="1">
                  <c:v>4.327968750000001</c:v>
                </c:pt>
                <c:pt idx="2">
                  <c:v>10.587559499999999</c:v>
                </c:pt>
                <c:pt idx="3">
                  <c:v>15.353550450000002</c:v>
                </c:pt>
                <c:pt idx="4">
                  <c:v>20.38997835</c:v>
                </c:pt>
              </c:numCache>
            </c:numRef>
          </c:val>
          <c:smooth val="0"/>
          <c:extLst>
            <c:ext xmlns:c16="http://schemas.microsoft.com/office/drawing/2014/chart" uri="{C3380CC4-5D6E-409C-BE32-E72D297353CC}">
              <c16:uniqueId val="{00000001-1537-4690-B6A3-37852F41CECD}"/>
            </c:ext>
          </c:extLst>
        </c:ser>
        <c:dLbls>
          <c:showLegendKey val="0"/>
          <c:showVal val="0"/>
          <c:showCatName val="0"/>
          <c:showSerName val="0"/>
          <c:showPercent val="0"/>
          <c:showBubbleSize val="0"/>
        </c:dLbls>
        <c:marker val="1"/>
        <c:smooth val="0"/>
        <c:axId val="550200608"/>
        <c:axId val="550200936"/>
      </c:lineChart>
      <c:catAx>
        <c:axId val="550200608"/>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crossAx val="550200936"/>
        <c:crosses val="autoZero"/>
        <c:auto val="1"/>
        <c:lblAlgn val="ctr"/>
        <c:lblOffset val="100"/>
        <c:noMultiLvlLbl val="0"/>
      </c:catAx>
      <c:valAx>
        <c:axId val="550200936"/>
        <c:scaling>
          <c:orientation val="minMax"/>
        </c:scaling>
        <c:delete val="0"/>
        <c:axPos val="l"/>
        <c:majorGridlines>
          <c:spPr>
            <a:ln w="9525" cap="flat" cmpd="sng" algn="ctr">
              <a:solidFill>
                <a:schemeClr val="tx1">
                  <a:lumMod val="15000"/>
                  <a:lumOff val="85000"/>
                </a:schemeClr>
              </a:solidFill>
              <a:round/>
            </a:ln>
            <a:effectLst/>
          </c:spPr>
        </c:majorGridlines>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crossAx val="5502006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solidFill>
            <a:schemeClr val="tx1"/>
          </a:solidFill>
          <a:latin typeface="DIN Alternate" panose="020B0500000000000000" pitchFamily="34" charset="0"/>
          <a:cs typeface="Arial" panose="020B0604020202020204" pitchFamily="34" charset="0"/>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DIN Alternate" panose="020B0500000000000000" pitchFamily="34" charset="0"/>
                <a:ea typeface="+mn-ea"/>
                <a:cs typeface="Arial" panose="020B0604020202020204" pitchFamily="34" charset="0"/>
              </a:defRPr>
            </a:pPr>
            <a:r>
              <a:rPr lang="de-DE"/>
              <a:t>Economies of Scale</a:t>
            </a:r>
          </a:p>
        </c:rich>
      </c:tx>
      <c:layout>
        <c:manualLayout>
          <c:xMode val="edge"/>
          <c:yMode val="edge"/>
          <c:x val="0.3904277199518705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DIN Alternate" panose="020B0500000000000000" pitchFamily="34" charset="0"/>
              <a:ea typeface="+mn-ea"/>
              <a:cs typeface="Arial" panose="020B0604020202020204" pitchFamily="34" charset="0"/>
            </a:defRPr>
          </a:pPr>
          <a:endParaRPr lang="en-US"/>
        </a:p>
      </c:txPr>
    </c:title>
    <c:autoTitleDeleted val="0"/>
    <c:plotArea>
      <c:layout>
        <c:manualLayout>
          <c:layoutTarget val="inner"/>
          <c:xMode val="edge"/>
          <c:yMode val="edge"/>
          <c:x val="0.10180729378923563"/>
          <c:y val="0.13532946739032109"/>
          <c:w val="0.78418360226752037"/>
          <c:h val="0.6727989927472523"/>
        </c:manualLayout>
      </c:layout>
      <c:barChart>
        <c:barDir val="col"/>
        <c:grouping val="clustered"/>
        <c:varyColors val="0"/>
        <c:ser>
          <c:idx val="0"/>
          <c:order val="0"/>
          <c:tx>
            <c:strRef>
              <c:f>'Summary Tables'!$B$8:$C$8</c:f>
              <c:strCache>
                <c:ptCount val="2"/>
                <c:pt idx="0">
                  <c:v>Units sold</c:v>
                </c:pt>
                <c:pt idx="1">
                  <c:v>#m</c:v>
                </c:pt>
              </c:strCache>
            </c:strRef>
          </c:tx>
          <c:spPr>
            <a:solidFill>
              <a:schemeClr val="accent3"/>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'Summary Tables'!$D$7:$H$7</c:f>
              <c:numCache>
                <c:formatCode>0</c:formatCode>
                <c:ptCount val="5"/>
                <c:pt idx="0">
                  <c:v>2019</c:v>
                </c:pt>
                <c:pt idx="1">
                  <c:v>2020</c:v>
                </c:pt>
                <c:pt idx="2">
                  <c:v>2021</c:v>
                </c:pt>
                <c:pt idx="3">
                  <c:v>2022</c:v>
                </c:pt>
                <c:pt idx="4">
                  <c:v>2023</c:v>
                </c:pt>
              </c:numCache>
            </c:numRef>
          </c:cat>
          <c:val>
            <c:numRef>
              <c:f>'Summary Tables'!$D$8:$H$8</c:f>
              <c:numCache>
                <c:formatCode>#,##0.0\ _€;\-#,##0.0\ _€</c:formatCode>
                <c:ptCount val="5"/>
                <c:pt idx="0">
                  <c:v>0.35249999999999998</c:v>
                </c:pt>
                <c:pt idx="1">
                  <c:v>3.3931140000000002</c:v>
                </c:pt>
                <c:pt idx="2">
                  <c:v>10.08339</c:v>
                </c:pt>
                <c:pt idx="3">
                  <c:v>14.622429</c:v>
                </c:pt>
                <c:pt idx="4">
                  <c:v>19.419027</c:v>
                </c:pt>
              </c:numCache>
            </c:numRef>
          </c:val>
          <c:extLst>
            <c:ext xmlns:c16="http://schemas.microsoft.com/office/drawing/2014/chart" uri="{C3380CC4-5D6E-409C-BE32-E72D297353CC}">
              <c16:uniqueId val="{00000000-86FB-41E1-84C0-6496722F2D54}"/>
            </c:ext>
          </c:extLst>
        </c:ser>
        <c:dLbls>
          <c:showLegendKey val="0"/>
          <c:showVal val="0"/>
          <c:showCatName val="0"/>
          <c:showSerName val="0"/>
          <c:showPercent val="0"/>
          <c:showBubbleSize val="0"/>
        </c:dLbls>
        <c:gapWidth val="150"/>
        <c:axId val="629356192"/>
        <c:axId val="629355536"/>
      </c:barChart>
      <c:lineChart>
        <c:grouping val="standard"/>
        <c:varyColors val="0"/>
        <c:ser>
          <c:idx val="1"/>
          <c:order val="1"/>
          <c:tx>
            <c:strRef>
              <c:f>'Summary Tables'!$B$9:$C$9</c:f>
              <c:strCache>
                <c:ptCount val="2"/>
                <c:pt idx="0">
                  <c:v>COGS per unit</c:v>
                </c:pt>
                <c:pt idx="1">
                  <c:v>$/unit</c:v>
                </c:pt>
              </c:strCache>
            </c:strRef>
          </c:tx>
          <c:spPr>
            <a:ln w="15875" cap="rnd">
              <a:solidFill>
                <a:schemeClr val="accent2"/>
              </a:solidFill>
              <a:round/>
            </a:ln>
            <a:effectLst/>
          </c:spPr>
          <c:marker>
            <c:symbol val="none"/>
          </c:marker>
          <c:dLbls>
            <c:dLbl>
              <c:idx val="3"/>
              <c:layout>
                <c:manualLayout>
                  <c:x val="-3.6304882945095832E-2"/>
                  <c:y val="-3.4063658040154453E-2"/>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DIN Alternate" panose="020B0500000000000000" pitchFamily="34" charset="0"/>
                      <a:ea typeface="+mn-ea"/>
                      <a:cs typeface="Arial" panose="020B0604020202020204" pitchFamily="34" charset="0"/>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2A-45D6-96EC-DF053907E952}"/>
                </c:ext>
              </c:extLst>
            </c:dLbl>
            <c:dLbl>
              <c:idx val="4"/>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DIN Alternate" panose="020B0500000000000000"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86FB-41E1-84C0-6496722F2D54}"/>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'Summary Tables'!$D$7:$H$7</c:f>
              <c:numCache>
                <c:formatCode>0</c:formatCode>
                <c:ptCount val="5"/>
                <c:pt idx="0">
                  <c:v>2019</c:v>
                </c:pt>
                <c:pt idx="1">
                  <c:v>2020</c:v>
                </c:pt>
                <c:pt idx="2">
                  <c:v>2021</c:v>
                </c:pt>
                <c:pt idx="3">
                  <c:v>2022</c:v>
                </c:pt>
                <c:pt idx="4">
                  <c:v>2023</c:v>
                </c:pt>
              </c:numCache>
            </c:numRef>
          </c:cat>
          <c:val>
            <c:numRef>
              <c:f>'Summary Tables'!$D$9:$H$9</c:f>
              <c:numCache>
                <c:formatCode>#,##0.000\ _€;\-#,##0.000\ _€</c:formatCode>
                <c:ptCount val="5"/>
                <c:pt idx="0">
                  <c:v>0.5736342127659575</c:v>
                </c:pt>
                <c:pt idx="1">
                  <c:v>0.49484595860911246</c:v>
                </c:pt>
                <c:pt idx="2">
                  <c:v>0.35551765775200606</c:v>
                </c:pt>
                <c:pt idx="3">
                  <c:v>0.34662981307688356</c:v>
                </c:pt>
                <c:pt idx="4">
                  <c:v>0.33774186904421116</c:v>
                </c:pt>
              </c:numCache>
            </c:numRef>
          </c:val>
          <c:smooth val="0"/>
          <c:extLst>
            <c:ext xmlns:c16="http://schemas.microsoft.com/office/drawing/2014/chart" uri="{C3380CC4-5D6E-409C-BE32-E72D297353CC}">
              <c16:uniqueId val="{00000001-86FB-41E1-84C0-6496722F2D54}"/>
            </c:ext>
          </c:extLst>
        </c:ser>
        <c:dLbls>
          <c:showLegendKey val="0"/>
          <c:showVal val="0"/>
          <c:showCatName val="0"/>
          <c:showSerName val="0"/>
          <c:showPercent val="0"/>
          <c:showBubbleSize val="0"/>
        </c:dLbls>
        <c:marker val="1"/>
        <c:smooth val="0"/>
        <c:axId val="393874688"/>
        <c:axId val="393875672"/>
      </c:lineChart>
      <c:catAx>
        <c:axId val="3938746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crossAx val="393875672"/>
        <c:crosses val="autoZero"/>
        <c:auto val="1"/>
        <c:lblAlgn val="ctr"/>
        <c:lblOffset val="100"/>
        <c:noMultiLvlLbl val="0"/>
      </c:catAx>
      <c:valAx>
        <c:axId val="393875672"/>
        <c:scaling>
          <c:orientation val="minMax"/>
        </c:scaling>
        <c:delete val="0"/>
        <c:axPos val="l"/>
        <c:majorGridlines>
          <c:spPr>
            <a:ln w="9525" cap="flat" cmpd="sng" algn="ctr">
              <a:solidFill>
                <a:schemeClr val="tx1">
                  <a:lumMod val="15000"/>
                  <a:lumOff val="85000"/>
                </a:schemeClr>
              </a:solidFill>
              <a:round/>
            </a:ln>
            <a:effectLst/>
          </c:spPr>
        </c:majorGridlines>
        <c:numFmt formatCode="#,##0.000\ _€;\-#,##0.00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crossAx val="393874688"/>
        <c:crosses val="autoZero"/>
        <c:crossBetween val="between"/>
      </c:valAx>
      <c:valAx>
        <c:axId val="629355536"/>
        <c:scaling>
          <c:orientation val="minMax"/>
        </c:scaling>
        <c:delete val="0"/>
        <c:axPos val="r"/>
        <c:numFmt formatCode="#,##0.0\ _€;\-#,##0.0\ 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crossAx val="629356192"/>
        <c:crosses val="max"/>
        <c:crossBetween val="between"/>
      </c:valAx>
      <c:catAx>
        <c:axId val="629356192"/>
        <c:scaling>
          <c:orientation val="minMax"/>
        </c:scaling>
        <c:delete val="1"/>
        <c:axPos val="b"/>
        <c:numFmt formatCode="0" sourceLinked="1"/>
        <c:majorTickMark val="out"/>
        <c:minorTickMark val="none"/>
        <c:tickLblPos val="nextTo"/>
        <c:crossAx val="6293555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DIN Alternate" panose="020B0500000000000000" pitchFamily="34" charset="0"/>
          <a:cs typeface="Arial" panose="020B0604020202020204" pitchFamily="34" charset="0"/>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'Summary Tables'!$B$37:$C$37</c:f>
              <c:strCache>
                <c:ptCount val="2"/>
                <c:pt idx="0">
                  <c:v>EBITDA</c:v>
                </c:pt>
              </c:strCache>
            </c:strRef>
          </c:tx>
          <c:spPr>
            <a:solidFill>
              <a:schemeClr val="accent3"/>
            </a:solidFill>
            <a:ln>
              <a:noFill/>
            </a:ln>
            <a:effectLst/>
          </c:spPr>
          <c:cat>
            <c:numRef>
              <c:f>'Summary Tables'!$D$36:$AA$36</c:f>
              <c:numCache>
                <c:formatCode>[$-409]mmm\-yy;@</c:formatCode>
                <c:ptCount val="24"/>
                <c:pt idx="0">
                  <c:v>43466</c:v>
                </c:pt>
                <c:pt idx="1">
                  <c:v>43497</c:v>
                </c:pt>
                <c:pt idx="2">
                  <c:v>43528</c:v>
                </c:pt>
                <c:pt idx="3">
                  <c:v>43559</c:v>
                </c:pt>
                <c:pt idx="4">
                  <c:v>43590</c:v>
                </c:pt>
                <c:pt idx="5">
                  <c:v>43621</c:v>
                </c:pt>
                <c:pt idx="6">
                  <c:v>43652</c:v>
                </c:pt>
                <c:pt idx="7">
                  <c:v>43683</c:v>
                </c:pt>
                <c:pt idx="8">
                  <c:v>43714</c:v>
                </c:pt>
                <c:pt idx="9">
                  <c:v>43745</c:v>
                </c:pt>
                <c:pt idx="10">
                  <c:v>43776</c:v>
                </c:pt>
                <c:pt idx="11">
                  <c:v>43807</c:v>
                </c:pt>
                <c:pt idx="12">
                  <c:v>43838</c:v>
                </c:pt>
                <c:pt idx="13">
                  <c:v>43869</c:v>
                </c:pt>
                <c:pt idx="14">
                  <c:v>43900</c:v>
                </c:pt>
                <c:pt idx="15">
                  <c:v>43931</c:v>
                </c:pt>
                <c:pt idx="16">
                  <c:v>43962</c:v>
                </c:pt>
                <c:pt idx="17">
                  <c:v>43993</c:v>
                </c:pt>
                <c:pt idx="18">
                  <c:v>44024</c:v>
                </c:pt>
                <c:pt idx="19">
                  <c:v>44055</c:v>
                </c:pt>
                <c:pt idx="20">
                  <c:v>44086</c:v>
                </c:pt>
                <c:pt idx="21">
                  <c:v>44117</c:v>
                </c:pt>
                <c:pt idx="22">
                  <c:v>44148</c:v>
                </c:pt>
                <c:pt idx="23">
                  <c:v>44179</c:v>
                </c:pt>
              </c:numCache>
            </c:numRef>
          </c:cat>
          <c:val>
            <c:numRef>
              <c:f>'Summary Tables'!$D$37:$AA$37</c:f>
              <c:numCache>
                <c:formatCode>#,##0_);\(#,##0\)</c:formatCode>
                <c:ptCount val="24"/>
                <c:pt idx="0">
                  <c:v>-7509.166666666667</c:v>
                </c:pt>
                <c:pt idx="1">
                  <c:v>-7509.166666666667</c:v>
                </c:pt>
                <c:pt idx="2">
                  <c:v>-22509.166666666664</c:v>
                </c:pt>
                <c:pt idx="3">
                  <c:v>-20337.336666666662</c:v>
                </c:pt>
                <c:pt idx="4">
                  <c:v>-14251.426666666666</c:v>
                </c:pt>
                <c:pt idx="5">
                  <c:v>-34223.42333333334</c:v>
                </c:pt>
                <c:pt idx="6">
                  <c:v>-38137.513333333336</c:v>
                </c:pt>
                <c:pt idx="7">
                  <c:v>-26192.453333333338</c:v>
                </c:pt>
                <c:pt idx="8">
                  <c:v>-25106.533333333326</c:v>
                </c:pt>
                <c:pt idx="9">
                  <c:v>-34020.623333333322</c:v>
                </c:pt>
                <c:pt idx="10">
                  <c:v>-34474.16333333333</c:v>
                </c:pt>
                <c:pt idx="11">
                  <c:v>-10130.503333333327</c:v>
                </c:pt>
                <c:pt idx="12">
                  <c:v>-75971.496666666644</c:v>
                </c:pt>
                <c:pt idx="13">
                  <c:v>-80691.400000000023</c:v>
                </c:pt>
                <c:pt idx="14">
                  <c:v>-96348.399333333335</c:v>
                </c:pt>
                <c:pt idx="15">
                  <c:v>-86434.839333333337</c:v>
                </c:pt>
                <c:pt idx="16">
                  <c:v>-44738.305333333294</c:v>
                </c:pt>
                <c:pt idx="17">
                  <c:v>-30935.995333333325</c:v>
                </c:pt>
                <c:pt idx="18">
                  <c:v>-31372.829333333299</c:v>
                </c:pt>
                <c:pt idx="19">
                  <c:v>10755.852666666673</c:v>
                </c:pt>
                <c:pt idx="20">
                  <c:v>34547.012666666706</c:v>
                </c:pt>
                <c:pt idx="21">
                  <c:v>82692.08666666667</c:v>
                </c:pt>
                <c:pt idx="22">
                  <c:v>87008.788666666835</c:v>
                </c:pt>
                <c:pt idx="23">
                  <c:v>201045.27466666675</c:v>
                </c:pt>
              </c:numCache>
            </c:numRef>
          </c:val>
          <c:extLst>
            <c:ext xmlns:c16="http://schemas.microsoft.com/office/drawing/2014/chart" uri="{C3380CC4-5D6E-409C-BE32-E72D297353CC}">
              <c16:uniqueId val="{00000000-26F2-4C6C-8BB0-75E625F8D058}"/>
            </c:ext>
          </c:extLst>
        </c:ser>
        <c:dLbls>
          <c:showLegendKey val="0"/>
          <c:showVal val="0"/>
          <c:showCatName val="0"/>
          <c:showSerName val="0"/>
          <c:showPercent val="0"/>
          <c:showBubbleSize val="0"/>
        </c:dLbls>
        <c:axId val="384832304"/>
        <c:axId val="384831976"/>
      </c:areaChart>
      <c:barChart>
        <c:barDir val="col"/>
        <c:grouping val="clustered"/>
        <c:varyColors val="0"/>
        <c:ser>
          <c:idx val="1"/>
          <c:order val="1"/>
          <c:tx>
            <c:strRef>
              <c:f>'Summary Tables'!$B$38:$C$38</c:f>
              <c:strCache>
                <c:ptCount val="2"/>
                <c:pt idx="0">
                  <c:v>Total Adv/Promotion</c:v>
                </c:pt>
              </c:strCache>
            </c:strRef>
          </c:tx>
          <c:spPr>
            <a:solidFill>
              <a:schemeClr val="bg1">
                <a:lumMod val="50000"/>
              </a:schemeClr>
            </a:solidFill>
            <a:ln>
              <a:noFill/>
            </a:ln>
            <a:effectLst/>
          </c:spPr>
          <c:invertIfNegative val="0"/>
          <c:cat>
            <c:numRef>
              <c:f>'Summary Tables'!$D$36:$AA$36</c:f>
              <c:numCache>
                <c:formatCode>[$-409]mmm\-yy;@</c:formatCode>
                <c:ptCount val="24"/>
                <c:pt idx="0">
                  <c:v>43466</c:v>
                </c:pt>
                <c:pt idx="1">
                  <c:v>43497</c:v>
                </c:pt>
                <c:pt idx="2">
                  <c:v>43528</c:v>
                </c:pt>
                <c:pt idx="3">
                  <c:v>43559</c:v>
                </c:pt>
                <c:pt idx="4">
                  <c:v>43590</c:v>
                </c:pt>
                <c:pt idx="5">
                  <c:v>43621</c:v>
                </c:pt>
                <c:pt idx="6">
                  <c:v>43652</c:v>
                </c:pt>
                <c:pt idx="7">
                  <c:v>43683</c:v>
                </c:pt>
                <c:pt idx="8">
                  <c:v>43714</c:v>
                </c:pt>
                <c:pt idx="9">
                  <c:v>43745</c:v>
                </c:pt>
                <c:pt idx="10">
                  <c:v>43776</c:v>
                </c:pt>
                <c:pt idx="11">
                  <c:v>43807</c:v>
                </c:pt>
                <c:pt idx="12">
                  <c:v>43838</c:v>
                </c:pt>
                <c:pt idx="13">
                  <c:v>43869</c:v>
                </c:pt>
                <c:pt idx="14">
                  <c:v>43900</c:v>
                </c:pt>
                <c:pt idx="15">
                  <c:v>43931</c:v>
                </c:pt>
                <c:pt idx="16">
                  <c:v>43962</c:v>
                </c:pt>
                <c:pt idx="17">
                  <c:v>43993</c:v>
                </c:pt>
                <c:pt idx="18">
                  <c:v>44024</c:v>
                </c:pt>
                <c:pt idx="19">
                  <c:v>44055</c:v>
                </c:pt>
                <c:pt idx="20">
                  <c:v>44086</c:v>
                </c:pt>
                <c:pt idx="21">
                  <c:v>44117</c:v>
                </c:pt>
                <c:pt idx="22">
                  <c:v>44148</c:v>
                </c:pt>
                <c:pt idx="23">
                  <c:v>44179</c:v>
                </c:pt>
              </c:numCache>
            </c:numRef>
          </c:cat>
          <c:val>
            <c:numRef>
              <c:f>'Summary Tables'!$D$38:$AA$38</c:f>
              <c:numCache>
                <c:formatCode>#,##0_);\(#,##0\)</c:formatCode>
                <c:ptCount val="24"/>
                <c:pt idx="0">
                  <c:v>0</c:v>
                </c:pt>
                <c:pt idx="1">
                  <c:v>0</c:v>
                </c:pt>
                <c:pt idx="2">
                  <c:v>15000</c:v>
                </c:pt>
                <c:pt idx="3">
                  <c:v>15000</c:v>
                </c:pt>
                <c:pt idx="4">
                  <c:v>10000</c:v>
                </c:pt>
                <c:pt idx="5">
                  <c:v>10000</c:v>
                </c:pt>
                <c:pt idx="6">
                  <c:v>15000</c:v>
                </c:pt>
                <c:pt idx="7">
                  <c:v>15000</c:v>
                </c:pt>
                <c:pt idx="8">
                  <c:v>15000</c:v>
                </c:pt>
                <c:pt idx="9">
                  <c:v>25000</c:v>
                </c:pt>
                <c:pt idx="10">
                  <c:v>45000</c:v>
                </c:pt>
                <c:pt idx="11">
                  <c:v>25000</c:v>
                </c:pt>
                <c:pt idx="12">
                  <c:v>24780</c:v>
                </c:pt>
                <c:pt idx="13">
                  <c:v>29240</c:v>
                </c:pt>
                <c:pt idx="14">
                  <c:v>64504</c:v>
                </c:pt>
                <c:pt idx="15">
                  <c:v>70714</c:v>
                </c:pt>
                <c:pt idx="16">
                  <c:v>48043</c:v>
                </c:pt>
                <c:pt idx="17">
                  <c:v>56691</c:v>
                </c:pt>
                <c:pt idx="18">
                  <c:v>83619</c:v>
                </c:pt>
                <c:pt idx="19">
                  <c:v>98670</c:v>
                </c:pt>
                <c:pt idx="20">
                  <c:v>116431</c:v>
                </c:pt>
                <c:pt idx="21">
                  <c:v>137389</c:v>
                </c:pt>
                <c:pt idx="22">
                  <c:v>194542</c:v>
                </c:pt>
                <c:pt idx="23">
                  <c:v>153040</c:v>
                </c:pt>
              </c:numCache>
            </c:numRef>
          </c:val>
          <c:extLst>
            <c:ext xmlns:c16="http://schemas.microsoft.com/office/drawing/2014/chart" uri="{C3380CC4-5D6E-409C-BE32-E72D297353CC}">
              <c16:uniqueId val="{00000001-26F2-4C6C-8BB0-75E625F8D058}"/>
            </c:ext>
          </c:extLst>
        </c:ser>
        <c:dLbls>
          <c:showLegendKey val="0"/>
          <c:showVal val="0"/>
          <c:showCatName val="0"/>
          <c:showSerName val="0"/>
          <c:showPercent val="0"/>
          <c:showBubbleSize val="0"/>
        </c:dLbls>
        <c:gapWidth val="150"/>
        <c:axId val="384832304"/>
        <c:axId val="384831976"/>
      </c:barChart>
      <c:dateAx>
        <c:axId val="384832304"/>
        <c:scaling>
          <c:orientation val="minMax"/>
        </c:scaling>
        <c:delete val="0"/>
        <c:axPos val="b"/>
        <c:numFmt formatCode="[$-409]mmm\-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mn-cs"/>
              </a:defRPr>
            </a:pPr>
            <a:endParaRPr lang="en-US"/>
          </a:p>
        </c:txPr>
        <c:crossAx val="384831976"/>
        <c:crosses val="autoZero"/>
        <c:auto val="1"/>
        <c:lblOffset val="100"/>
        <c:baseTimeUnit val="months"/>
      </c:dateAx>
      <c:valAx>
        <c:axId val="384831976"/>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mn-cs"/>
              </a:defRPr>
            </a:pPr>
            <a:endParaRPr lang="en-US"/>
          </a:p>
        </c:txPr>
        <c:crossAx val="384832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DIN Alternate" panose="020B0500000000000000"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DIN Alternate" panose="020B0500000000000000" pitchFamily="34" charset="0"/>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cid:image002.png@01D41878.E8A64560"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cid:image001.png@01D41878.E8A64560"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8</xdr:col>
      <xdr:colOff>302253</xdr:colOff>
      <xdr:row>3</xdr:row>
      <xdr:rowOff>31751</xdr:rowOff>
    </xdr:from>
    <xdr:to>
      <xdr:col>21</xdr:col>
      <xdr:colOff>20526</xdr:colOff>
      <xdr:row>30</xdr:row>
      <xdr:rowOff>67025</xdr:rowOff>
    </xdr:to>
    <xdr:graphicFrame macro="">
      <xdr:nvGraphicFramePr>
        <xdr:cNvPr id="3" name="Diagramm 2">
          <a:extLst>
            <a:ext uri="{FF2B5EF4-FFF2-40B4-BE49-F238E27FC236}">
              <a16:creationId xmlns:a16="http://schemas.microsoft.com/office/drawing/2014/main" id="{3306F8EE-5685-41EC-84F6-9E66E50E82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220980</xdr:colOff>
      <xdr:row>3</xdr:row>
      <xdr:rowOff>83820</xdr:rowOff>
    </xdr:from>
    <xdr:to>
      <xdr:col>35</xdr:col>
      <xdr:colOff>266700</xdr:colOff>
      <xdr:row>30</xdr:row>
      <xdr:rowOff>7620</xdr:rowOff>
    </xdr:to>
    <xdr:graphicFrame macro="">
      <xdr:nvGraphicFramePr>
        <xdr:cNvPr id="6" name="Diagramm 5">
          <a:extLst>
            <a:ext uri="{FF2B5EF4-FFF2-40B4-BE49-F238E27FC236}">
              <a16:creationId xmlns:a16="http://schemas.microsoft.com/office/drawing/2014/main" id="{D484288A-1E7F-4CAD-830B-155D0CECF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266700</xdr:colOff>
      <xdr:row>41</xdr:row>
      <xdr:rowOff>7620</xdr:rowOff>
    </xdr:from>
    <xdr:to>
      <xdr:col>21</xdr:col>
      <xdr:colOff>381000</xdr:colOff>
      <xdr:row>67</xdr:row>
      <xdr:rowOff>99060</xdr:rowOff>
    </xdr:to>
    <xdr:graphicFrame macro="">
      <xdr:nvGraphicFramePr>
        <xdr:cNvPr id="7" name="Diagramm 6">
          <a:extLst>
            <a:ext uri="{FF2B5EF4-FFF2-40B4-BE49-F238E27FC236}">
              <a16:creationId xmlns:a16="http://schemas.microsoft.com/office/drawing/2014/main" id="{D10E59B9-519F-4C1B-A451-7E5FE7F512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394252</xdr:colOff>
      <xdr:row>37</xdr:row>
      <xdr:rowOff>59635</xdr:rowOff>
    </xdr:from>
    <xdr:to>
      <xdr:col>16</xdr:col>
      <xdr:colOff>410817</xdr:colOff>
      <xdr:row>42</xdr:row>
      <xdr:rowOff>5302</xdr:rowOff>
    </xdr:to>
    <xdr:cxnSp macro="">
      <xdr:nvCxnSpPr>
        <xdr:cNvPr id="9" name="Gerader Verbinder 8">
          <a:extLst>
            <a:ext uri="{FF2B5EF4-FFF2-40B4-BE49-F238E27FC236}">
              <a16:creationId xmlns:a16="http://schemas.microsoft.com/office/drawing/2014/main" id="{1153D582-920D-4015-9BA4-3C586314D352}"/>
            </a:ext>
          </a:extLst>
        </xdr:cNvPr>
        <xdr:cNvCxnSpPr/>
      </xdr:nvCxnSpPr>
      <xdr:spPr>
        <a:xfrm flipH="1">
          <a:off x="7749209" y="4379844"/>
          <a:ext cx="16565" cy="54201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38</xdr:col>
      <xdr:colOff>196424</xdr:colOff>
      <xdr:row>39</xdr:row>
      <xdr:rowOff>26611</xdr:rowOff>
    </xdr:from>
    <xdr:to>
      <xdr:col>55</xdr:col>
      <xdr:colOff>98679</xdr:colOff>
      <xdr:row>74</xdr:row>
      <xdr:rowOff>33968</xdr:rowOff>
    </xdr:to>
    <xdr:pic>
      <xdr:nvPicPr>
        <xdr:cNvPr id="8" name="Grafik 7" descr="cid:image001.png@01D41878.E8A64560">
          <a:extLst>
            <a:ext uri="{FF2B5EF4-FFF2-40B4-BE49-F238E27FC236}">
              <a16:creationId xmlns:a16="http://schemas.microsoft.com/office/drawing/2014/main" id="{C3B6DF52-F3AB-4DFB-A0B3-7D6172CFEC44}"/>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17748700" y="4645908"/>
          <a:ext cx="7138627" cy="4237771"/>
        </a:xfrm>
        <a:prstGeom prst="rect">
          <a:avLst/>
        </a:prstGeom>
        <a:noFill/>
        <a:ln>
          <a:noFill/>
        </a:ln>
      </xdr:spPr>
    </xdr:pic>
    <xdr:clientData/>
  </xdr:twoCellAnchor>
  <xdr:twoCellAnchor editAs="oneCell">
    <xdr:from>
      <xdr:col>40</xdr:col>
      <xdr:colOff>348725</xdr:colOff>
      <xdr:row>29</xdr:row>
      <xdr:rowOff>93903</xdr:rowOff>
    </xdr:from>
    <xdr:to>
      <xdr:col>59</xdr:col>
      <xdr:colOff>296077</xdr:colOff>
      <xdr:row>57</xdr:row>
      <xdr:rowOff>1078</xdr:rowOff>
    </xdr:to>
    <xdr:pic>
      <xdr:nvPicPr>
        <xdr:cNvPr id="10" name="Grafik 9" descr="cid:image002.png@01D41878.E8A64560">
          <a:extLst>
            <a:ext uri="{FF2B5EF4-FFF2-40B4-BE49-F238E27FC236}">
              <a16:creationId xmlns:a16="http://schemas.microsoft.com/office/drawing/2014/main" id="{F62206A0-C264-4CC4-9071-8372374B72CA}"/>
            </a:ext>
          </a:extLst>
        </xdr:cNvPr>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18752339" y="3504510"/>
          <a:ext cx="8035062" cy="32915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381681</xdr:colOff>
      <xdr:row>52</xdr:row>
      <xdr:rowOff>120694</xdr:rowOff>
    </xdr:from>
    <xdr:to>
      <xdr:col>4</xdr:col>
      <xdr:colOff>525036</xdr:colOff>
      <xdr:row>69</xdr:row>
      <xdr:rowOff>31759</xdr:rowOff>
    </xdr:to>
    <xdr:pic>
      <xdr:nvPicPr>
        <xdr:cNvPr id="3" name="Grafik 2">
          <a:extLst>
            <a:ext uri="{FF2B5EF4-FFF2-40B4-BE49-F238E27FC236}">
              <a16:creationId xmlns:a16="http://schemas.microsoft.com/office/drawing/2014/main" id="{3FDF95ED-588E-424C-8FAB-6549E753EB13}"/>
            </a:ext>
          </a:extLst>
        </xdr:cNvPr>
        <xdr:cNvPicPr>
          <a:picLocks noChangeAspect="1"/>
        </xdr:cNvPicPr>
      </xdr:nvPicPr>
      <xdr:blipFill>
        <a:blip xmlns:r="http://schemas.openxmlformats.org/officeDocument/2006/relationships" r:embed="rId1"/>
        <a:stretch>
          <a:fillRect/>
        </a:stretch>
      </xdr:blipFill>
      <xdr:spPr>
        <a:xfrm>
          <a:off x="381681" y="5078457"/>
          <a:ext cx="2461532" cy="2054189"/>
        </a:xfrm>
        <a:prstGeom prst="rect">
          <a:avLst/>
        </a:prstGeom>
      </xdr:spPr>
    </xdr:pic>
    <xdr:clientData/>
  </xdr:twoCellAnchor>
  <xdr:twoCellAnchor editAs="oneCell">
    <xdr:from>
      <xdr:col>4</xdr:col>
      <xdr:colOff>339969</xdr:colOff>
      <xdr:row>53</xdr:row>
      <xdr:rowOff>20714</xdr:rowOff>
    </xdr:from>
    <xdr:to>
      <xdr:col>8</xdr:col>
      <xdr:colOff>315621</xdr:colOff>
      <xdr:row>62</xdr:row>
      <xdr:rowOff>100557</xdr:rowOff>
    </xdr:to>
    <xdr:pic>
      <xdr:nvPicPr>
        <xdr:cNvPr id="4" name="Grafik 3">
          <a:extLst>
            <a:ext uri="{FF2B5EF4-FFF2-40B4-BE49-F238E27FC236}">
              <a16:creationId xmlns:a16="http://schemas.microsoft.com/office/drawing/2014/main" id="{506F3B95-9F68-4E77-880D-84034CABC485}"/>
            </a:ext>
          </a:extLst>
        </xdr:cNvPr>
        <xdr:cNvPicPr>
          <a:picLocks noChangeAspect="1"/>
        </xdr:cNvPicPr>
      </xdr:nvPicPr>
      <xdr:blipFill>
        <a:blip xmlns:r="http://schemas.openxmlformats.org/officeDocument/2006/relationships" r:embed="rId2"/>
        <a:stretch>
          <a:fillRect/>
        </a:stretch>
      </xdr:blipFill>
      <xdr:spPr>
        <a:xfrm>
          <a:off x="2842846" y="6949052"/>
          <a:ext cx="1986159" cy="12111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2949</xdr:colOff>
      <xdr:row>15</xdr:row>
      <xdr:rowOff>41564</xdr:rowOff>
    </xdr:to>
    <xdr:pic>
      <xdr:nvPicPr>
        <xdr:cNvPr id="2" name="Grafik 1">
          <a:extLst>
            <a:ext uri="{FF2B5EF4-FFF2-40B4-BE49-F238E27FC236}">
              <a16:creationId xmlns:a16="http://schemas.microsoft.com/office/drawing/2014/main" id="{B46A6D44-60FF-4DC4-A28A-D3A1363D3F68}"/>
            </a:ext>
          </a:extLst>
        </xdr:cNvPr>
        <xdr:cNvPicPr>
          <a:picLocks noChangeAspect="1"/>
        </xdr:cNvPicPr>
      </xdr:nvPicPr>
      <xdr:blipFill>
        <a:blip xmlns:r="http://schemas.openxmlformats.org/officeDocument/2006/relationships" r:embed="rId1"/>
        <a:stretch>
          <a:fillRect/>
        </a:stretch>
      </xdr:blipFill>
      <xdr:spPr>
        <a:xfrm>
          <a:off x="0" y="0"/>
          <a:ext cx="2146940" cy="1704109"/>
        </a:xfrm>
        <a:prstGeom prst="rect">
          <a:avLst/>
        </a:prstGeom>
      </xdr:spPr>
    </xdr:pic>
    <xdr:clientData/>
  </xdr:twoCellAnchor>
  <xdr:twoCellAnchor editAs="oneCell">
    <xdr:from>
      <xdr:col>7</xdr:col>
      <xdr:colOff>9799</xdr:colOff>
      <xdr:row>20</xdr:row>
      <xdr:rowOff>76200</xdr:rowOff>
    </xdr:from>
    <xdr:to>
      <xdr:col>13</xdr:col>
      <xdr:colOff>115651</xdr:colOff>
      <xdr:row>38</xdr:row>
      <xdr:rowOff>27710</xdr:rowOff>
    </xdr:to>
    <xdr:pic>
      <xdr:nvPicPr>
        <xdr:cNvPr id="3" name="Grafik 2">
          <a:extLst>
            <a:ext uri="{FF2B5EF4-FFF2-40B4-BE49-F238E27FC236}">
              <a16:creationId xmlns:a16="http://schemas.microsoft.com/office/drawing/2014/main" id="{6489EEB3-139A-4213-BFBA-D5E391700327}"/>
            </a:ext>
          </a:extLst>
        </xdr:cNvPr>
        <xdr:cNvPicPr>
          <a:picLocks noChangeAspect="1"/>
        </xdr:cNvPicPr>
      </xdr:nvPicPr>
      <xdr:blipFill>
        <a:blip xmlns:r="http://schemas.openxmlformats.org/officeDocument/2006/relationships" r:embed="rId2"/>
        <a:stretch>
          <a:fillRect/>
        </a:stretch>
      </xdr:blipFill>
      <xdr:spPr>
        <a:xfrm>
          <a:off x="2943499" y="2362200"/>
          <a:ext cx="2696652" cy="2008910"/>
        </a:xfrm>
        <a:prstGeom prst="rect">
          <a:avLst/>
        </a:prstGeom>
      </xdr:spPr>
    </xdr:pic>
    <xdr:clientData/>
  </xdr:twoCellAnchor>
  <xdr:twoCellAnchor editAs="oneCell">
    <xdr:from>
      <xdr:col>14</xdr:col>
      <xdr:colOff>28849</xdr:colOff>
      <xdr:row>21</xdr:row>
      <xdr:rowOff>19050</xdr:rowOff>
    </xdr:from>
    <xdr:to>
      <xdr:col>20</xdr:col>
      <xdr:colOff>323850</xdr:colOff>
      <xdr:row>38</xdr:row>
      <xdr:rowOff>49911</xdr:rowOff>
    </xdr:to>
    <xdr:pic>
      <xdr:nvPicPr>
        <xdr:cNvPr id="4" name="Grafik 3">
          <a:extLst>
            <a:ext uri="{FF2B5EF4-FFF2-40B4-BE49-F238E27FC236}">
              <a16:creationId xmlns:a16="http://schemas.microsoft.com/office/drawing/2014/main" id="{FE75726D-F46F-40A8-AF11-3A1A731708AA}"/>
            </a:ext>
          </a:extLst>
        </xdr:cNvPr>
        <xdr:cNvPicPr>
          <a:picLocks noChangeAspect="1"/>
        </xdr:cNvPicPr>
      </xdr:nvPicPr>
      <xdr:blipFill>
        <a:blip xmlns:r="http://schemas.openxmlformats.org/officeDocument/2006/relationships" r:embed="rId3"/>
        <a:stretch>
          <a:fillRect/>
        </a:stretch>
      </xdr:blipFill>
      <xdr:spPr>
        <a:xfrm>
          <a:off x="5896249" y="2419350"/>
          <a:ext cx="2809601" cy="1973961"/>
        </a:xfrm>
        <a:prstGeom prst="rect">
          <a:avLst/>
        </a:prstGeom>
      </xdr:spPr>
    </xdr:pic>
    <xdr:clientData/>
  </xdr:twoCellAnchor>
  <xdr:twoCellAnchor editAs="oneCell">
    <xdr:from>
      <xdr:col>21</xdr:col>
      <xdr:colOff>108947</xdr:colOff>
      <xdr:row>22</xdr:row>
      <xdr:rowOff>19051</xdr:rowOff>
    </xdr:from>
    <xdr:to>
      <xdr:col>27</xdr:col>
      <xdr:colOff>204608</xdr:colOff>
      <xdr:row>37</xdr:row>
      <xdr:rowOff>1</xdr:rowOff>
    </xdr:to>
    <xdr:pic>
      <xdr:nvPicPr>
        <xdr:cNvPr id="5" name="Grafik 4">
          <a:extLst>
            <a:ext uri="{FF2B5EF4-FFF2-40B4-BE49-F238E27FC236}">
              <a16:creationId xmlns:a16="http://schemas.microsoft.com/office/drawing/2014/main" id="{E81926EB-2A5D-4191-AF91-331D14F634C6}"/>
            </a:ext>
          </a:extLst>
        </xdr:cNvPr>
        <xdr:cNvPicPr>
          <a:picLocks noChangeAspect="1"/>
        </xdr:cNvPicPr>
      </xdr:nvPicPr>
      <xdr:blipFill>
        <a:blip xmlns:r="http://schemas.openxmlformats.org/officeDocument/2006/relationships" r:embed="rId4"/>
        <a:stretch>
          <a:fillRect/>
        </a:stretch>
      </xdr:blipFill>
      <xdr:spPr>
        <a:xfrm>
          <a:off x="9055520" y="2381251"/>
          <a:ext cx="2651824" cy="1591541"/>
        </a:xfrm>
        <a:prstGeom prst="rect">
          <a:avLst/>
        </a:prstGeom>
      </xdr:spPr>
    </xdr:pic>
    <xdr:clientData/>
  </xdr:twoCellAnchor>
  <xdr:twoCellAnchor editAs="oneCell">
    <xdr:from>
      <xdr:col>0</xdr:col>
      <xdr:colOff>0</xdr:colOff>
      <xdr:row>22</xdr:row>
      <xdr:rowOff>57151</xdr:rowOff>
    </xdr:from>
    <xdr:to>
      <xdr:col>6</xdr:col>
      <xdr:colOff>357236</xdr:colOff>
      <xdr:row>38</xdr:row>
      <xdr:rowOff>107372</xdr:rowOff>
    </xdr:to>
    <xdr:pic>
      <xdr:nvPicPr>
        <xdr:cNvPr id="6" name="Grafik 5">
          <a:extLst>
            <a:ext uri="{FF2B5EF4-FFF2-40B4-BE49-F238E27FC236}">
              <a16:creationId xmlns:a16="http://schemas.microsoft.com/office/drawing/2014/main" id="{64520548-4BD8-4C72-8C72-2C02CC3CD86E}"/>
            </a:ext>
          </a:extLst>
        </xdr:cNvPr>
        <xdr:cNvPicPr>
          <a:picLocks noChangeAspect="1"/>
        </xdr:cNvPicPr>
      </xdr:nvPicPr>
      <xdr:blipFill>
        <a:blip xmlns:r="http://schemas.openxmlformats.org/officeDocument/2006/relationships" r:embed="rId5"/>
        <a:stretch>
          <a:fillRect/>
        </a:stretch>
      </xdr:blipFill>
      <xdr:spPr>
        <a:xfrm>
          <a:off x="0" y="2571751"/>
          <a:ext cx="2871836" cy="1885949"/>
        </a:xfrm>
        <a:prstGeom prst="rect">
          <a:avLst/>
        </a:prstGeom>
      </xdr:spPr>
    </xdr:pic>
    <xdr:clientData/>
  </xdr:twoCellAnchor>
  <xdr:twoCellAnchor editAs="oneCell">
    <xdr:from>
      <xdr:col>0</xdr:col>
      <xdr:colOff>0</xdr:colOff>
      <xdr:row>41</xdr:row>
      <xdr:rowOff>10392</xdr:rowOff>
    </xdr:from>
    <xdr:to>
      <xdr:col>7</xdr:col>
      <xdr:colOff>306683</xdr:colOff>
      <xdr:row>55</xdr:row>
      <xdr:rowOff>61855</xdr:rowOff>
    </xdr:to>
    <xdr:pic>
      <xdr:nvPicPr>
        <xdr:cNvPr id="7" name="Grafik 6">
          <a:extLst>
            <a:ext uri="{FF2B5EF4-FFF2-40B4-BE49-F238E27FC236}">
              <a16:creationId xmlns:a16="http://schemas.microsoft.com/office/drawing/2014/main" id="{A9744458-6DA5-4F8D-A4AD-F6E4C7DB5901}"/>
            </a:ext>
          </a:extLst>
        </xdr:cNvPr>
        <xdr:cNvPicPr>
          <a:picLocks noChangeAspect="1"/>
        </xdr:cNvPicPr>
      </xdr:nvPicPr>
      <xdr:blipFill>
        <a:blip xmlns:r="http://schemas.openxmlformats.org/officeDocument/2006/relationships" r:embed="rId6"/>
        <a:stretch>
          <a:fillRect/>
        </a:stretch>
      </xdr:blipFill>
      <xdr:spPr>
        <a:xfrm>
          <a:off x="0" y="4412674"/>
          <a:ext cx="3288874" cy="1554681"/>
        </a:xfrm>
        <a:prstGeom prst="rect">
          <a:avLst/>
        </a:prstGeom>
      </xdr:spPr>
    </xdr:pic>
    <xdr:clientData/>
  </xdr:twoCellAnchor>
  <xdr:twoCellAnchor editAs="oneCell">
    <xdr:from>
      <xdr:col>0</xdr:col>
      <xdr:colOff>0</xdr:colOff>
      <xdr:row>56</xdr:row>
      <xdr:rowOff>76200</xdr:rowOff>
    </xdr:from>
    <xdr:to>
      <xdr:col>6</xdr:col>
      <xdr:colOff>243587</xdr:colOff>
      <xdr:row>74</xdr:row>
      <xdr:rowOff>57150</xdr:rowOff>
    </xdr:to>
    <xdr:pic>
      <xdr:nvPicPr>
        <xdr:cNvPr id="8" name="Grafik 7">
          <a:extLst>
            <a:ext uri="{FF2B5EF4-FFF2-40B4-BE49-F238E27FC236}">
              <a16:creationId xmlns:a16="http://schemas.microsoft.com/office/drawing/2014/main" id="{63743497-DFF1-4828-AA87-D0D8B4DAF94D}"/>
            </a:ext>
          </a:extLst>
        </xdr:cNvPr>
        <xdr:cNvPicPr>
          <a:picLocks noChangeAspect="1"/>
        </xdr:cNvPicPr>
      </xdr:nvPicPr>
      <xdr:blipFill>
        <a:blip xmlns:r="http://schemas.openxmlformats.org/officeDocument/2006/relationships" r:embed="rId7"/>
        <a:stretch>
          <a:fillRect/>
        </a:stretch>
      </xdr:blipFill>
      <xdr:spPr>
        <a:xfrm>
          <a:off x="0" y="6477000"/>
          <a:ext cx="2758187" cy="2038350"/>
        </a:xfrm>
        <a:prstGeom prst="rect">
          <a:avLst/>
        </a:prstGeom>
      </xdr:spPr>
    </xdr:pic>
    <xdr:clientData/>
  </xdr:twoCellAnchor>
  <xdr:twoCellAnchor editAs="oneCell">
    <xdr:from>
      <xdr:col>0</xdr:col>
      <xdr:colOff>0</xdr:colOff>
      <xdr:row>76</xdr:row>
      <xdr:rowOff>8964</xdr:rowOff>
    </xdr:from>
    <xdr:to>
      <xdr:col>4</xdr:col>
      <xdr:colOff>4116</xdr:colOff>
      <xdr:row>95</xdr:row>
      <xdr:rowOff>40937</xdr:rowOff>
    </xdr:to>
    <xdr:pic>
      <xdr:nvPicPr>
        <xdr:cNvPr id="10" name="Grafik 9">
          <a:extLst>
            <a:ext uri="{FF2B5EF4-FFF2-40B4-BE49-F238E27FC236}">
              <a16:creationId xmlns:a16="http://schemas.microsoft.com/office/drawing/2014/main" id="{1DE13C8F-7B30-4961-9F40-86D46007C420}"/>
            </a:ext>
          </a:extLst>
        </xdr:cNvPr>
        <xdr:cNvPicPr>
          <a:picLocks noChangeAspect="1"/>
        </xdr:cNvPicPr>
      </xdr:nvPicPr>
      <xdr:blipFill>
        <a:blip xmlns:r="http://schemas.openxmlformats.org/officeDocument/2006/relationships" r:embed="rId8"/>
        <a:stretch>
          <a:fillRect/>
        </a:stretch>
      </xdr:blipFill>
      <xdr:spPr>
        <a:xfrm>
          <a:off x="0" y="8184776"/>
          <a:ext cx="1725340" cy="2075926"/>
        </a:xfrm>
        <a:prstGeom prst="rect">
          <a:avLst/>
        </a:prstGeom>
      </xdr:spPr>
    </xdr:pic>
    <xdr:clientData/>
  </xdr:twoCellAnchor>
  <xdr:twoCellAnchor editAs="oneCell">
    <xdr:from>
      <xdr:col>4</xdr:col>
      <xdr:colOff>268941</xdr:colOff>
      <xdr:row>76</xdr:row>
      <xdr:rowOff>26893</xdr:rowOff>
    </xdr:from>
    <xdr:to>
      <xdr:col>8</xdr:col>
      <xdr:colOff>125505</xdr:colOff>
      <xdr:row>94</xdr:row>
      <xdr:rowOff>76672</xdr:rowOff>
    </xdr:to>
    <xdr:pic>
      <xdr:nvPicPr>
        <xdr:cNvPr id="11" name="Grafik 10">
          <a:extLst>
            <a:ext uri="{FF2B5EF4-FFF2-40B4-BE49-F238E27FC236}">
              <a16:creationId xmlns:a16="http://schemas.microsoft.com/office/drawing/2014/main" id="{B740FEBA-8FAF-4E0A-88D2-FF16127889CB}"/>
            </a:ext>
          </a:extLst>
        </xdr:cNvPr>
        <xdr:cNvPicPr>
          <a:picLocks noChangeAspect="1"/>
        </xdr:cNvPicPr>
      </xdr:nvPicPr>
      <xdr:blipFill>
        <a:blip xmlns:r="http://schemas.openxmlformats.org/officeDocument/2006/relationships" r:embed="rId9"/>
        <a:stretch>
          <a:fillRect/>
        </a:stretch>
      </xdr:blipFill>
      <xdr:spPr>
        <a:xfrm>
          <a:off x="1990165" y="8202705"/>
          <a:ext cx="1577787" cy="1986155"/>
        </a:xfrm>
        <a:prstGeom prst="rect">
          <a:avLst/>
        </a:prstGeom>
      </xdr:spPr>
    </xdr:pic>
    <xdr:clientData/>
  </xdr:twoCellAnchor>
  <xdr:twoCellAnchor editAs="oneCell">
    <xdr:from>
      <xdr:col>8</xdr:col>
      <xdr:colOff>268942</xdr:colOff>
      <xdr:row>75</xdr:row>
      <xdr:rowOff>94773</xdr:rowOff>
    </xdr:from>
    <xdr:to>
      <xdr:col>14</xdr:col>
      <xdr:colOff>233083</xdr:colOff>
      <xdr:row>95</xdr:row>
      <xdr:rowOff>9962</xdr:rowOff>
    </xdr:to>
    <xdr:pic>
      <xdr:nvPicPr>
        <xdr:cNvPr id="12" name="Grafik 11">
          <a:extLst>
            <a:ext uri="{FF2B5EF4-FFF2-40B4-BE49-F238E27FC236}">
              <a16:creationId xmlns:a16="http://schemas.microsoft.com/office/drawing/2014/main" id="{B9B0A3C6-86BF-4D38-AE58-942BC2CF8614}"/>
            </a:ext>
          </a:extLst>
        </xdr:cNvPr>
        <xdr:cNvPicPr>
          <a:picLocks noChangeAspect="1"/>
        </xdr:cNvPicPr>
      </xdr:nvPicPr>
      <xdr:blipFill>
        <a:blip xmlns:r="http://schemas.openxmlformats.org/officeDocument/2006/relationships" r:embed="rId10"/>
        <a:stretch>
          <a:fillRect/>
        </a:stretch>
      </xdr:blipFill>
      <xdr:spPr>
        <a:xfrm>
          <a:off x="3672542" y="8191023"/>
          <a:ext cx="2593041" cy="2074189"/>
        </a:xfrm>
        <a:prstGeom prst="rect">
          <a:avLst/>
        </a:prstGeom>
      </xdr:spPr>
    </xdr:pic>
    <xdr:clientData/>
  </xdr:twoCellAnchor>
  <xdr:twoCellAnchor editAs="oneCell">
    <xdr:from>
      <xdr:col>0</xdr:col>
      <xdr:colOff>152400</xdr:colOff>
      <xdr:row>98</xdr:row>
      <xdr:rowOff>35859</xdr:rowOff>
    </xdr:from>
    <xdr:to>
      <xdr:col>4</xdr:col>
      <xdr:colOff>363339</xdr:colOff>
      <xdr:row>113</xdr:row>
      <xdr:rowOff>76200</xdr:rowOff>
    </xdr:to>
    <xdr:pic>
      <xdr:nvPicPr>
        <xdr:cNvPr id="13" name="Grafik 12">
          <a:extLst>
            <a:ext uri="{FF2B5EF4-FFF2-40B4-BE49-F238E27FC236}">
              <a16:creationId xmlns:a16="http://schemas.microsoft.com/office/drawing/2014/main" id="{1549B8D9-22E1-4875-AC71-7CFA09B50AB2}"/>
            </a:ext>
          </a:extLst>
        </xdr:cNvPr>
        <xdr:cNvPicPr>
          <a:picLocks noChangeAspect="1"/>
        </xdr:cNvPicPr>
      </xdr:nvPicPr>
      <xdr:blipFill>
        <a:blip xmlns:r="http://schemas.openxmlformats.org/officeDocument/2006/relationships" r:embed="rId11"/>
        <a:stretch>
          <a:fillRect/>
        </a:stretch>
      </xdr:blipFill>
      <xdr:spPr>
        <a:xfrm>
          <a:off x="152400" y="11237259"/>
          <a:ext cx="1887339" cy="17548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E/Desktop/MBA/04%20Business%20Case/2018-07-07%20PEP%20Straw%20Financial%20Model%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umptions"/>
      <sheetName val="Grants"/>
      <sheetName val="Growth"/>
      <sheetName val="Pro Ass"/>
      <sheetName val="COGS"/>
      <sheetName val="Details"/>
      <sheetName val="Summary Table"/>
      <sheetName val="Summary Statements"/>
      <sheetName val="Sources"/>
      <sheetName val="NST0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Set>
  </externalBook>
</externalLink>
</file>

<file path=xl/theme/theme1.xml><?xml version="1.0" encoding="utf-8"?>
<a:theme xmlns:a="http://schemas.openxmlformats.org/drawingml/2006/main" name="Office">
  <a:themeElements>
    <a:clrScheme name="PEP STRAW">
      <a:dk1>
        <a:srgbClr val="000000"/>
      </a:dk1>
      <a:lt1>
        <a:srgbClr val="FFFFFF"/>
      </a:lt1>
      <a:dk2>
        <a:srgbClr val="323232"/>
      </a:dk2>
      <a:lt2>
        <a:srgbClr val="E3DED1"/>
      </a:lt2>
      <a:accent1>
        <a:srgbClr val="362C31"/>
      </a:accent1>
      <a:accent2>
        <a:srgbClr val="18876D"/>
      </a:accent2>
      <a:accent3>
        <a:srgbClr val="1B587C"/>
      </a:accent3>
      <a:accent4>
        <a:srgbClr val="9F172D"/>
      </a:accent4>
      <a:accent5>
        <a:srgbClr val="604878"/>
      </a:accent5>
      <a:accent6>
        <a:srgbClr val="C19859"/>
      </a:accent6>
      <a:hlink>
        <a:srgbClr val="6B9F25"/>
      </a:hlink>
      <a:folHlink>
        <a:srgbClr val="B26B0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8"/>
  <sheetViews>
    <sheetView showGridLines="0" zoomScaleNormal="100" workbookViewId="0"/>
  </sheetViews>
  <sheetFormatPr defaultColWidth="9.5546875" defaultRowHeight="15.4"/>
  <cols>
    <col min="1" max="1" width="15" style="15" customWidth="1"/>
    <col min="2" max="2" width="5" style="12" customWidth="1"/>
    <col min="3" max="3" width="8.77734375" style="13" customWidth="1"/>
    <col min="4" max="4" width="120" style="14" customWidth="1"/>
    <col min="5" max="5" width="13" style="3" customWidth="1"/>
    <col min="6" max="16384" width="9.5546875" style="15"/>
  </cols>
  <sheetData>
    <row r="1" spans="2:5" s="7" customFormat="1" ht="25.5" customHeight="1" thickTop="1">
      <c r="B1" s="1" t="str">
        <f>Details!$A$1</f>
        <v>PEP STRAW</v>
      </c>
      <c r="C1" s="4"/>
      <c r="D1" s="5"/>
      <c r="E1" s="6"/>
    </row>
    <row r="2" spans="2:5" s="11" customFormat="1" ht="13.5" thickBot="1">
      <c r="B2" s="2" t="s">
        <v>8</v>
      </c>
      <c r="C2" s="8"/>
      <c r="D2" s="9"/>
      <c r="E2" s="10"/>
    </row>
    <row r="3" spans="2:5" ht="28.5" customHeight="1" thickTop="1"/>
    <row r="4" spans="2:5" s="17" customFormat="1">
      <c r="B4" s="16" t="s">
        <v>0</v>
      </c>
      <c r="C4" s="17" t="s">
        <v>9</v>
      </c>
      <c r="D4" s="14"/>
      <c r="E4" s="18"/>
    </row>
    <row r="5" spans="2:5" s="17" customFormat="1" ht="8.4499999999999993" customHeight="1">
      <c r="B5" s="16"/>
      <c r="D5" s="14"/>
      <c r="E5" s="18"/>
    </row>
    <row r="6" spans="2:5">
      <c r="C6" s="19"/>
      <c r="D6" s="14" t="s">
        <v>290</v>
      </c>
    </row>
    <row r="7" spans="2:5">
      <c r="C7" s="19"/>
      <c r="D7" s="14" t="s">
        <v>10</v>
      </c>
    </row>
    <row r="8" spans="2:5" ht="35.25" customHeight="1">
      <c r="C8" s="19"/>
      <c r="D8" s="14" t="s">
        <v>291</v>
      </c>
    </row>
    <row r="9" spans="2:5" ht="34.5" customHeight="1">
      <c r="C9" s="19"/>
      <c r="D9" s="14" t="s">
        <v>11</v>
      </c>
    </row>
    <row r="10" spans="2:5">
      <c r="C10" s="19"/>
    </row>
    <row r="11" spans="2:5" ht="15.75" customHeight="1"/>
    <row r="12" spans="2:5" s="17" customFormat="1">
      <c r="B12" s="16" t="s">
        <v>1</v>
      </c>
      <c r="C12" s="17" t="s">
        <v>12</v>
      </c>
      <c r="D12" s="14"/>
      <c r="E12" s="18"/>
    </row>
    <row r="13" spans="2:5" s="17" customFormat="1" ht="8.1" customHeight="1">
      <c r="B13" s="16"/>
      <c r="D13" s="14"/>
      <c r="E13" s="18"/>
    </row>
    <row r="14" spans="2:5" ht="32.450000000000003" customHeight="1">
      <c r="C14" s="19"/>
      <c r="D14" s="14" t="s">
        <v>13</v>
      </c>
    </row>
    <row r="15" spans="2:5" ht="46.15">
      <c r="C15" s="19"/>
      <c r="D15" s="14" t="s">
        <v>14</v>
      </c>
    </row>
    <row r="16" spans="2:5" ht="34.25" customHeight="1">
      <c r="C16" s="19"/>
      <c r="D16" s="14" t="s">
        <v>292</v>
      </c>
    </row>
    <row r="17" spans="2:5" ht="15.75" customHeight="1">
      <c r="C17" s="19"/>
      <c r="D17" s="14" t="s">
        <v>293</v>
      </c>
    </row>
    <row r="18" spans="2:5" ht="15.75" customHeight="1"/>
    <row r="19" spans="2:5" s="17" customFormat="1">
      <c r="B19" s="16" t="s">
        <v>2</v>
      </c>
      <c r="C19" s="17" t="s">
        <v>15</v>
      </c>
      <c r="D19" s="14"/>
      <c r="E19" s="18"/>
    </row>
    <row r="20" spans="2:5" s="17" customFormat="1" ht="13.25" customHeight="1">
      <c r="B20" s="16"/>
      <c r="D20" s="14"/>
      <c r="E20" s="18"/>
    </row>
    <row r="21" spans="2:5" ht="46.15">
      <c r="C21" s="19"/>
      <c r="D21" s="14" t="s">
        <v>294</v>
      </c>
    </row>
    <row r="22" spans="2:5" ht="61.5">
      <c r="C22" s="19"/>
      <c r="D22" s="14" t="s">
        <v>295</v>
      </c>
    </row>
    <row r="23" spans="2:5" ht="15.75" customHeight="1"/>
    <row r="24" spans="2:5" s="17" customFormat="1">
      <c r="B24" s="16" t="s">
        <v>3</v>
      </c>
      <c r="C24" s="17" t="s">
        <v>16</v>
      </c>
      <c r="D24" s="14"/>
      <c r="E24" s="18"/>
    </row>
    <row r="25" spans="2:5" s="17" customFormat="1" ht="8.1" customHeight="1">
      <c r="B25" s="16"/>
      <c r="D25" s="14"/>
      <c r="E25" s="18"/>
    </row>
    <row r="26" spans="2:5" ht="33" customHeight="1">
      <c r="C26" s="19"/>
      <c r="D26" s="20" t="s">
        <v>17</v>
      </c>
    </row>
    <row r="27" spans="2:5" ht="48" customHeight="1">
      <c r="C27" s="19"/>
      <c r="D27" s="20" t="s">
        <v>18</v>
      </c>
    </row>
    <row r="28" spans="2:5" ht="30.75">
      <c r="D28" s="14" t="s">
        <v>296</v>
      </c>
    </row>
  </sheetData>
  <phoneticPr fontId="3" type="noConversion"/>
  <printOptions horizontalCentered="1"/>
  <pageMargins left="0.75" right="0.75" top="1" bottom="0.75" header="0.5" footer="0.5"/>
  <pageSetup orientation="landscape" useFirstPageNumber="1" horizontalDpi="4294967292" verticalDpi="4294967292" r:id="rId1"/>
  <headerFooter alignWithMargins="0">
    <oddFooter>&amp;R&amp;"MS Serif,Bold"&amp;8Page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zoomScale="84" zoomScaleNormal="84" workbookViewId="0">
      <selection activeCell="A15" sqref="A15"/>
    </sheetView>
  </sheetViews>
  <sheetFormatPr defaultColWidth="16" defaultRowHeight="12.75"/>
  <cols>
    <col min="1" max="1" width="54.77734375" style="416" customWidth="1"/>
    <col min="2" max="2" width="19.5546875" style="416" customWidth="1"/>
    <col min="3" max="3" width="21" style="416" customWidth="1"/>
    <col min="4" max="4" width="18.77734375" style="416" customWidth="1"/>
    <col min="5" max="5" width="19.21875" style="416" customWidth="1"/>
    <col min="6" max="6" width="18.21875" style="416" customWidth="1"/>
    <col min="7" max="7" width="19.21875" style="416" bestFit="1" customWidth="1"/>
    <col min="8" max="8" width="17.21875" style="416" bestFit="1" customWidth="1"/>
    <col min="9" max="9" width="17" style="416" bestFit="1" customWidth="1"/>
    <col min="10" max="10" width="19.21875" style="416" bestFit="1" customWidth="1"/>
    <col min="11" max="11" width="17.44140625" style="416" customWidth="1"/>
    <col min="12" max="12" width="16.77734375" style="416" bestFit="1" customWidth="1"/>
    <col min="13" max="13" width="17" style="416" bestFit="1" customWidth="1"/>
    <col min="14" max="14" width="18.77734375" style="416" bestFit="1" customWidth="1"/>
    <col min="15" max="15" width="18.5546875" style="416" customWidth="1"/>
    <col min="16" max="16" width="16.77734375" style="416" bestFit="1" customWidth="1"/>
    <col min="17" max="18" width="18.77734375" style="416" bestFit="1" customWidth="1"/>
    <col min="19" max="19" width="16" style="416"/>
    <col min="20" max="20" width="20.5546875" style="416" bestFit="1" customWidth="1"/>
    <col min="21" max="16384" width="16" style="416"/>
  </cols>
  <sheetData>
    <row r="1" spans="1:21" ht="60" customHeight="1">
      <c r="E1" s="417" t="s">
        <v>418</v>
      </c>
    </row>
    <row r="2" spans="1:21" ht="15" customHeight="1">
      <c r="F2" s="417"/>
    </row>
    <row r="3" spans="1:21" ht="15" customHeight="1" thickBot="1">
      <c r="C3" s="418" t="s">
        <v>419</v>
      </c>
      <c r="F3" s="417"/>
    </row>
    <row r="4" spans="1:21" ht="45.4" thickBot="1">
      <c r="B4" s="419" t="s">
        <v>420</v>
      </c>
      <c r="C4" s="420" t="s">
        <v>421</v>
      </c>
      <c r="D4" s="421" t="s">
        <v>422</v>
      </c>
      <c r="E4" s="420" t="s">
        <v>423</v>
      </c>
      <c r="F4" s="422"/>
      <c r="G4" s="423"/>
      <c r="H4" s="423"/>
      <c r="I4" s="423"/>
      <c r="J4" s="423"/>
      <c r="K4" s="423"/>
      <c r="L4" s="423"/>
      <c r="M4" s="423"/>
      <c r="N4" s="423"/>
      <c r="O4" s="423"/>
      <c r="P4" s="423"/>
      <c r="Q4" s="423"/>
      <c r="R4" s="423"/>
      <c r="S4" s="423"/>
      <c r="T4" s="423"/>
      <c r="U4" s="423"/>
    </row>
    <row r="5" spans="1:21" ht="15">
      <c r="B5" s="424" t="s">
        <v>424</v>
      </c>
      <c r="C5" s="425">
        <v>0.6</v>
      </c>
      <c r="D5" s="426">
        <f>Exit!E9/1000000</f>
        <v>1.4999999999999999E-7</v>
      </c>
      <c r="E5" s="427">
        <f>D5+C5</f>
        <v>0.60000014999999995</v>
      </c>
      <c r="F5" s="428"/>
      <c r="G5" s="429"/>
      <c r="H5" s="429"/>
      <c r="I5" s="429"/>
      <c r="J5" s="430"/>
      <c r="K5" s="429"/>
      <c r="L5" s="429"/>
      <c r="M5" s="429"/>
      <c r="N5" s="429"/>
      <c r="O5" s="429"/>
      <c r="P5" s="429"/>
      <c r="Q5" s="429"/>
      <c r="R5" s="429"/>
      <c r="S5" s="429"/>
      <c r="T5" s="429"/>
      <c r="U5" s="429"/>
    </row>
    <row r="6" spans="1:21" ht="15">
      <c r="B6" s="431" t="s">
        <v>417</v>
      </c>
      <c r="C6" s="432">
        <v>1.7</v>
      </c>
      <c r="D6" s="433">
        <f>Exit!F10/1000000</f>
        <v>8.0000000000000007E-7</v>
      </c>
      <c r="E6" s="434">
        <f t="shared" ref="E6:E10" si="0">D6+C6</f>
        <v>1.7000008</v>
      </c>
      <c r="F6" s="428"/>
      <c r="G6" s="429"/>
      <c r="H6" s="435"/>
      <c r="I6" s="429"/>
      <c r="J6" s="436" t="s">
        <v>425</v>
      </c>
      <c r="K6" s="429"/>
      <c r="L6" s="429"/>
      <c r="M6" s="429"/>
      <c r="N6" s="429"/>
      <c r="O6" s="429"/>
      <c r="P6" s="429"/>
      <c r="Q6" s="429"/>
      <c r="R6" s="429"/>
      <c r="S6" s="429"/>
      <c r="T6" s="429"/>
      <c r="U6" s="429"/>
    </row>
    <row r="7" spans="1:21" ht="15">
      <c r="B7" s="437" t="s">
        <v>426</v>
      </c>
      <c r="C7" s="432"/>
      <c r="D7" s="433"/>
      <c r="E7" s="438">
        <f t="shared" si="0"/>
        <v>0</v>
      </c>
      <c r="F7" s="429"/>
      <c r="G7" s="429"/>
      <c r="H7" s="439"/>
      <c r="I7" s="429"/>
      <c r="J7" s="440"/>
      <c r="K7" s="436"/>
      <c r="L7" s="429"/>
      <c r="M7" s="429"/>
      <c r="N7" s="429"/>
      <c r="O7" s="429"/>
      <c r="P7" s="429"/>
      <c r="Q7" s="429"/>
      <c r="R7" s="429"/>
      <c r="S7" s="429"/>
      <c r="T7" s="429"/>
      <c r="U7" s="429"/>
    </row>
    <row r="8" spans="1:21" ht="15">
      <c r="B8" s="441" t="s">
        <v>427</v>
      </c>
      <c r="C8" s="432"/>
      <c r="D8" s="433"/>
      <c r="E8" s="442">
        <f t="shared" si="0"/>
        <v>0</v>
      </c>
      <c r="F8" s="429"/>
      <c r="G8" s="429"/>
      <c r="H8" s="435"/>
      <c r="I8" s="429"/>
      <c r="J8" s="439"/>
      <c r="K8" s="439"/>
      <c r="L8" s="429"/>
      <c r="M8" s="429"/>
      <c r="N8" s="429"/>
      <c r="O8" s="429"/>
      <c r="P8" s="429"/>
      <c r="Q8" s="429"/>
      <c r="R8" s="429"/>
      <c r="S8" s="429"/>
      <c r="T8" s="429"/>
      <c r="U8" s="429"/>
    </row>
    <row r="9" spans="1:21" ht="15">
      <c r="B9" s="443" t="s">
        <v>428</v>
      </c>
      <c r="C9" s="432">
        <v>0</v>
      </c>
      <c r="D9" s="433">
        <v>0</v>
      </c>
      <c r="E9" s="444">
        <f t="shared" si="0"/>
        <v>0</v>
      </c>
      <c r="F9" s="429"/>
      <c r="G9" s="436"/>
      <c r="H9" s="435"/>
      <c r="I9" s="435"/>
      <c r="J9" s="429"/>
      <c r="K9" s="435"/>
      <c r="L9" s="429"/>
      <c r="M9" s="429"/>
      <c r="N9" s="429"/>
      <c r="O9" s="429"/>
      <c r="P9" s="429"/>
      <c r="Q9" s="429"/>
      <c r="R9" s="429"/>
      <c r="S9" s="429"/>
      <c r="T9" s="429"/>
      <c r="U9" s="429"/>
    </row>
    <row r="10" spans="1:21" ht="15.4" thickBot="1">
      <c r="B10" s="445" t="s">
        <v>429</v>
      </c>
      <c r="C10" s="446">
        <v>0</v>
      </c>
      <c r="D10" s="447">
        <v>0</v>
      </c>
      <c r="E10" s="448">
        <f t="shared" si="0"/>
        <v>0</v>
      </c>
      <c r="F10" s="429"/>
      <c r="G10" s="436"/>
      <c r="H10" s="439"/>
      <c r="I10" s="439"/>
      <c r="J10" s="429"/>
      <c r="K10" s="435"/>
      <c r="L10" s="429"/>
      <c r="M10" s="429"/>
      <c r="N10" s="429"/>
      <c r="O10" s="429"/>
      <c r="P10" s="429"/>
      <c r="Q10" s="429"/>
      <c r="R10" s="429"/>
      <c r="S10" s="429"/>
      <c r="T10" s="429"/>
      <c r="U10" s="429"/>
    </row>
    <row r="11" spans="1:21" ht="15.4" thickBot="1">
      <c r="A11" s="429"/>
      <c r="B11" s="449"/>
      <c r="C11" s="450"/>
      <c r="D11" s="451">
        <f>SUM(D5:D10)</f>
        <v>9.5000000000000001E-7</v>
      </c>
      <c r="E11" s="452">
        <f>SUM(E5:E10)</f>
        <v>2.3000009499999998</v>
      </c>
      <c r="F11" s="429"/>
      <c r="G11" s="453"/>
      <c r="H11" s="429"/>
      <c r="I11" s="429"/>
      <c r="J11" s="429"/>
      <c r="K11" s="429"/>
      <c r="L11" s="429"/>
      <c r="M11" s="429"/>
      <c r="N11" s="429"/>
      <c r="O11" s="429"/>
      <c r="P11" s="429"/>
      <c r="Q11" s="429"/>
      <c r="R11" s="429"/>
      <c r="S11" s="429"/>
      <c r="T11" s="429"/>
      <c r="U11" s="429"/>
    </row>
    <row r="12" spans="1:21" ht="15.4" thickBot="1">
      <c r="A12" s="454" t="s">
        <v>430</v>
      </c>
      <c r="B12" s="429"/>
      <c r="C12" s="429"/>
      <c r="D12" s="429"/>
      <c r="E12" s="429"/>
      <c r="F12" s="453"/>
      <c r="G12" s="429"/>
      <c r="H12" s="429"/>
      <c r="I12" s="429"/>
      <c r="J12" s="429"/>
      <c r="K12" s="429"/>
      <c r="L12" s="429"/>
      <c r="M12" s="429"/>
      <c r="N12" s="429"/>
      <c r="O12" s="429"/>
      <c r="P12" s="429"/>
      <c r="Q12" s="429"/>
      <c r="R12" s="429"/>
      <c r="S12" s="429"/>
      <c r="T12" s="429"/>
    </row>
    <row r="13" spans="1:21" ht="15.4" thickBot="1">
      <c r="A13" s="454"/>
      <c r="B13" s="429"/>
      <c r="C13" s="677" t="s">
        <v>431</v>
      </c>
      <c r="D13" s="678"/>
      <c r="E13" s="679"/>
      <c r="F13" s="680" t="s">
        <v>432</v>
      </c>
      <c r="G13" s="681"/>
      <c r="H13" s="682"/>
      <c r="I13" s="683" t="s">
        <v>433</v>
      </c>
      <c r="J13" s="684"/>
      <c r="K13" s="685"/>
      <c r="L13" s="686" t="s">
        <v>434</v>
      </c>
      <c r="M13" s="687"/>
      <c r="N13" s="688"/>
      <c r="O13" s="689" t="s">
        <v>435</v>
      </c>
      <c r="P13" s="690"/>
      <c r="Q13" s="691"/>
      <c r="R13" s="674" t="s">
        <v>429</v>
      </c>
      <c r="S13" s="675"/>
      <c r="T13" s="676"/>
    </row>
    <row r="14" spans="1:21" ht="15.4" thickBot="1">
      <c r="A14" s="455" t="s">
        <v>436</v>
      </c>
      <c r="B14" s="456" t="s">
        <v>233</v>
      </c>
      <c r="C14" s="457" t="s">
        <v>214</v>
      </c>
      <c r="D14" s="458" t="s">
        <v>233</v>
      </c>
      <c r="E14" s="459" t="s">
        <v>437</v>
      </c>
      <c r="F14" s="460" t="s">
        <v>214</v>
      </c>
      <c r="G14" s="461" t="s">
        <v>233</v>
      </c>
      <c r="H14" s="462" t="s">
        <v>437</v>
      </c>
      <c r="I14" s="463" t="s">
        <v>214</v>
      </c>
      <c r="J14" s="464" t="s">
        <v>233</v>
      </c>
      <c r="K14" s="465" t="s">
        <v>437</v>
      </c>
      <c r="L14" s="466" t="s">
        <v>214</v>
      </c>
      <c r="M14" s="467" t="s">
        <v>233</v>
      </c>
      <c r="N14" s="468" t="s">
        <v>437</v>
      </c>
      <c r="O14" s="469" t="s">
        <v>214</v>
      </c>
      <c r="P14" s="470" t="s">
        <v>233</v>
      </c>
      <c r="Q14" s="471" t="s">
        <v>437</v>
      </c>
      <c r="R14" s="472" t="s">
        <v>214</v>
      </c>
      <c r="S14" s="473" t="s">
        <v>233</v>
      </c>
      <c r="T14" s="474" t="s">
        <v>437</v>
      </c>
    </row>
    <row r="15" spans="1:21" ht="15">
      <c r="A15" s="475" t="s">
        <v>438</v>
      </c>
      <c r="B15" s="476">
        <v>1</v>
      </c>
      <c r="C15" s="477"/>
      <c r="D15" s="478">
        <f>B15*(1-D18)</f>
        <v>0.99999975000006247</v>
      </c>
      <c r="E15" s="479">
        <f>D15*C26</f>
        <v>0.6</v>
      </c>
      <c r="F15" s="480"/>
      <c r="G15" s="481">
        <f>D15*(1-G19)-D15*G16</f>
        <v>0.99999927941216626</v>
      </c>
      <c r="H15" s="482">
        <f>G15*$F$26</f>
        <v>1.6999995750001062</v>
      </c>
      <c r="I15" s="483"/>
      <c r="J15" s="484" t="e">
        <f>G15*(1-J20)</f>
        <v>#DIV/0!</v>
      </c>
      <c r="K15" s="485" t="e">
        <f t="shared" ref="K15:K20" si="1">J15*$I$26</f>
        <v>#DIV/0!</v>
      </c>
      <c r="L15" s="486"/>
      <c r="M15" s="487" t="e">
        <f>J15*(1-M21)</f>
        <v>#DIV/0!</v>
      </c>
      <c r="N15" s="488" t="e">
        <f t="shared" ref="N15:N21" si="2">M15*$L$26</f>
        <v>#DIV/0!</v>
      </c>
      <c r="O15" s="489"/>
      <c r="P15" s="490" t="e">
        <f>M15*(1-P22)</f>
        <v>#DIV/0!</v>
      </c>
      <c r="Q15" s="491" t="e">
        <f t="shared" ref="Q15:Q22" si="3">P15*$O$26</f>
        <v>#DIV/0!</v>
      </c>
      <c r="R15" s="492"/>
      <c r="S15" s="493" t="e">
        <f>P15*(1-S23)</f>
        <v>#DIV/0!</v>
      </c>
      <c r="T15" s="494" t="e">
        <f t="shared" ref="T15:T23" si="4">S15*$R$26</f>
        <v>#DIV/0!</v>
      </c>
    </row>
    <row r="16" spans="1:21" ht="15">
      <c r="A16" s="495" t="s">
        <v>439</v>
      </c>
      <c r="B16" s="496"/>
      <c r="C16" s="497"/>
      <c r="D16" s="498"/>
      <c r="E16" s="499"/>
      <c r="F16" s="500"/>
      <c r="G16" s="501">
        <v>0</v>
      </c>
      <c r="H16" s="502">
        <f>G16*$F$26</f>
        <v>0</v>
      </c>
      <c r="I16" s="503"/>
      <c r="J16" s="504" t="e">
        <f>G16*(1-J20)</f>
        <v>#DIV/0!</v>
      </c>
      <c r="K16" s="505" t="e">
        <f t="shared" si="1"/>
        <v>#DIV/0!</v>
      </c>
      <c r="L16" s="506"/>
      <c r="M16" s="507" t="e">
        <f>J16*(1-M21)</f>
        <v>#DIV/0!</v>
      </c>
      <c r="N16" s="508" t="e">
        <f t="shared" si="2"/>
        <v>#DIV/0!</v>
      </c>
      <c r="O16" s="509"/>
      <c r="P16" s="510" t="e">
        <f>M16*(1-P22)</f>
        <v>#DIV/0!</v>
      </c>
      <c r="Q16" s="511" t="e">
        <f t="shared" si="3"/>
        <v>#DIV/0!</v>
      </c>
      <c r="R16" s="512"/>
      <c r="S16" s="513" t="e">
        <f>P16*(1-S23)</f>
        <v>#DIV/0!</v>
      </c>
      <c r="T16" s="514" t="e">
        <f t="shared" si="4"/>
        <v>#DIV/0!</v>
      </c>
    </row>
    <row r="17" spans="1:20" ht="15.4" thickBot="1">
      <c r="A17" s="515" t="s">
        <v>440</v>
      </c>
      <c r="B17" s="516">
        <v>0</v>
      </c>
      <c r="C17" s="517" t="s">
        <v>441</v>
      </c>
      <c r="D17" s="518">
        <f>B17*(1-D18)</f>
        <v>0</v>
      </c>
      <c r="E17" s="519">
        <f>D17*$C$26</f>
        <v>0</v>
      </c>
      <c r="F17" s="520" t="s">
        <v>441</v>
      </c>
      <c r="G17" s="521">
        <f>D17*(1-G19)-D17*G16</f>
        <v>0</v>
      </c>
      <c r="H17" s="522">
        <f>G17*$F$26</f>
        <v>0</v>
      </c>
      <c r="I17" s="523" t="s">
        <v>441</v>
      </c>
      <c r="J17" s="524" t="e">
        <f>G17*(1-J20)</f>
        <v>#DIV/0!</v>
      </c>
      <c r="K17" s="525" t="e">
        <f t="shared" si="1"/>
        <v>#DIV/0!</v>
      </c>
      <c r="L17" s="526" t="s">
        <v>441</v>
      </c>
      <c r="M17" s="527" t="e">
        <f>J17*(1-M21)</f>
        <v>#DIV/0!</v>
      </c>
      <c r="N17" s="528" t="e">
        <f t="shared" si="2"/>
        <v>#DIV/0!</v>
      </c>
      <c r="O17" s="529" t="s">
        <v>441</v>
      </c>
      <c r="P17" s="530" t="e">
        <f>M17*(1-P22)</f>
        <v>#DIV/0!</v>
      </c>
      <c r="Q17" s="531" t="e">
        <f t="shared" si="3"/>
        <v>#DIV/0!</v>
      </c>
      <c r="R17" s="532" t="s">
        <v>441</v>
      </c>
      <c r="S17" s="533" t="e">
        <f>P17*(1-S23)</f>
        <v>#DIV/0!</v>
      </c>
      <c r="T17" s="534" t="e">
        <f t="shared" si="4"/>
        <v>#DIV/0!</v>
      </c>
    </row>
    <row r="18" spans="1:20" ht="15">
      <c r="A18" s="535" t="s">
        <v>431</v>
      </c>
      <c r="B18" s="536"/>
      <c r="C18" s="537">
        <f>D5</f>
        <v>1.4999999999999999E-7</v>
      </c>
      <c r="D18" s="538">
        <f>C18/C26</f>
        <v>2.4999993750001564E-7</v>
      </c>
      <c r="E18" s="539">
        <f>D18*$C$26</f>
        <v>1.4999999999999999E-7</v>
      </c>
      <c r="F18" s="540" t="s">
        <v>441</v>
      </c>
      <c r="G18" s="541">
        <f>D18*(1-G19)-G16*D18</f>
        <v>2.4999981985304161E-7</v>
      </c>
      <c r="H18" s="542">
        <f>G18*$F$26</f>
        <v>4.2499989375002659E-7</v>
      </c>
      <c r="I18" s="543" t="s">
        <v>441</v>
      </c>
      <c r="J18" s="544" t="e">
        <f>G18*(1-J20)</f>
        <v>#DIV/0!</v>
      </c>
      <c r="K18" s="545" t="e">
        <f t="shared" si="1"/>
        <v>#DIV/0!</v>
      </c>
      <c r="L18" s="546" t="s">
        <v>441</v>
      </c>
      <c r="M18" s="547" t="e">
        <f>J18*(1-M21)</f>
        <v>#DIV/0!</v>
      </c>
      <c r="N18" s="548" t="e">
        <f t="shared" si="2"/>
        <v>#DIV/0!</v>
      </c>
      <c r="O18" s="549" t="s">
        <v>441</v>
      </c>
      <c r="P18" s="550" t="e">
        <f>M18*(1-P22)</f>
        <v>#DIV/0!</v>
      </c>
      <c r="Q18" s="551" t="e">
        <f t="shared" si="3"/>
        <v>#DIV/0!</v>
      </c>
      <c r="R18" s="552" t="s">
        <v>441</v>
      </c>
      <c r="S18" s="553" t="e">
        <f>P18*(1-S23)</f>
        <v>#DIV/0!</v>
      </c>
      <c r="T18" s="554" t="e">
        <f t="shared" si="4"/>
        <v>#DIV/0!</v>
      </c>
    </row>
    <row r="19" spans="1:20" ht="15">
      <c r="A19" s="555" t="s">
        <v>442</v>
      </c>
      <c r="B19" s="556"/>
      <c r="C19" s="557"/>
      <c r="D19" s="498"/>
      <c r="E19" s="558"/>
      <c r="F19" s="559">
        <f>D6</f>
        <v>8.0000000000000007E-7</v>
      </c>
      <c r="G19" s="560">
        <f>F19/F26</f>
        <v>4.7058801384093471E-7</v>
      </c>
      <c r="H19" s="502">
        <f>G19*$F$26</f>
        <v>8.0000000000000007E-7</v>
      </c>
      <c r="I19" s="561" t="s">
        <v>441</v>
      </c>
      <c r="J19" s="504" t="e">
        <f>G19*(1-J20)</f>
        <v>#DIV/0!</v>
      </c>
      <c r="K19" s="505" t="e">
        <f t="shared" si="1"/>
        <v>#DIV/0!</v>
      </c>
      <c r="L19" s="562" t="s">
        <v>441</v>
      </c>
      <c r="M19" s="507" t="e">
        <f>J19*(1-M21)</f>
        <v>#DIV/0!</v>
      </c>
      <c r="N19" s="508" t="e">
        <f t="shared" si="2"/>
        <v>#DIV/0!</v>
      </c>
      <c r="O19" s="509" t="s">
        <v>441</v>
      </c>
      <c r="P19" s="510" t="e">
        <f>M19*(1-P22)</f>
        <v>#DIV/0!</v>
      </c>
      <c r="Q19" s="511" t="e">
        <f t="shared" si="3"/>
        <v>#DIV/0!</v>
      </c>
      <c r="R19" s="563" t="s">
        <v>441</v>
      </c>
      <c r="S19" s="513" t="e">
        <f>P19*(1-S23)</f>
        <v>#DIV/0!</v>
      </c>
      <c r="T19" s="514" t="e">
        <f t="shared" si="4"/>
        <v>#DIV/0!</v>
      </c>
    </row>
    <row r="20" spans="1:20" ht="15">
      <c r="A20" s="564" t="s">
        <v>443</v>
      </c>
      <c r="B20" s="556"/>
      <c r="C20" s="557"/>
      <c r="D20" s="498"/>
      <c r="E20" s="558"/>
      <c r="F20" s="559"/>
      <c r="G20" s="560"/>
      <c r="H20" s="502"/>
      <c r="I20" s="561">
        <f>D7</f>
        <v>0</v>
      </c>
      <c r="J20" s="504" t="e">
        <f>I20/I26</f>
        <v>#DIV/0!</v>
      </c>
      <c r="K20" s="505" t="e">
        <f t="shared" si="1"/>
        <v>#DIV/0!</v>
      </c>
      <c r="L20" s="562" t="s">
        <v>441</v>
      </c>
      <c r="M20" s="507" t="e">
        <f>J20*(1-M21)</f>
        <v>#DIV/0!</v>
      </c>
      <c r="N20" s="508" t="e">
        <f t="shared" si="2"/>
        <v>#DIV/0!</v>
      </c>
      <c r="O20" s="509" t="s">
        <v>441</v>
      </c>
      <c r="P20" s="510" t="e">
        <f>M20*(1-P22)</f>
        <v>#DIV/0!</v>
      </c>
      <c r="Q20" s="511" t="e">
        <f t="shared" si="3"/>
        <v>#DIV/0!</v>
      </c>
      <c r="R20" s="563" t="s">
        <v>441</v>
      </c>
      <c r="S20" s="513" t="e">
        <f>P20*(1-S23)</f>
        <v>#DIV/0!</v>
      </c>
      <c r="T20" s="514" t="e">
        <f t="shared" si="4"/>
        <v>#DIV/0!</v>
      </c>
    </row>
    <row r="21" spans="1:20" ht="15">
      <c r="A21" s="565" t="s">
        <v>444</v>
      </c>
      <c r="B21" s="556"/>
      <c r="C21" s="557"/>
      <c r="D21" s="498"/>
      <c r="E21" s="558"/>
      <c r="F21" s="559"/>
      <c r="G21" s="560"/>
      <c r="H21" s="502"/>
      <c r="I21" s="561"/>
      <c r="J21" s="504"/>
      <c r="K21" s="505"/>
      <c r="L21" s="562">
        <f>D8</f>
        <v>0</v>
      </c>
      <c r="M21" s="507" t="e">
        <f>L21/L26</f>
        <v>#DIV/0!</v>
      </c>
      <c r="N21" s="508" t="e">
        <f t="shared" si="2"/>
        <v>#DIV/0!</v>
      </c>
      <c r="O21" s="509" t="s">
        <v>441</v>
      </c>
      <c r="P21" s="510" t="e">
        <f>M21*(1-P22)</f>
        <v>#DIV/0!</v>
      </c>
      <c r="Q21" s="511" t="e">
        <f t="shared" si="3"/>
        <v>#DIV/0!</v>
      </c>
      <c r="R21" s="563" t="s">
        <v>441</v>
      </c>
      <c r="S21" s="513" t="e">
        <f>P21*(1-S23)</f>
        <v>#DIV/0!</v>
      </c>
      <c r="T21" s="514" t="e">
        <f t="shared" si="4"/>
        <v>#DIV/0!</v>
      </c>
    </row>
    <row r="22" spans="1:20" ht="15">
      <c r="A22" s="566" t="s">
        <v>445</v>
      </c>
      <c r="B22" s="556"/>
      <c r="C22" s="557"/>
      <c r="D22" s="498"/>
      <c r="E22" s="558"/>
      <c r="F22" s="559"/>
      <c r="G22" s="560"/>
      <c r="H22" s="502"/>
      <c r="I22" s="561"/>
      <c r="J22" s="504"/>
      <c r="K22" s="505"/>
      <c r="L22" s="562"/>
      <c r="M22" s="507"/>
      <c r="N22" s="508"/>
      <c r="O22" s="567">
        <f>D9</f>
        <v>0</v>
      </c>
      <c r="P22" s="510" t="e">
        <f>O22/O26</f>
        <v>#DIV/0!</v>
      </c>
      <c r="Q22" s="511" t="e">
        <f t="shared" si="3"/>
        <v>#DIV/0!</v>
      </c>
      <c r="R22" s="563" t="s">
        <v>441</v>
      </c>
      <c r="S22" s="513" t="e">
        <f>P22*(1-S23)</f>
        <v>#DIV/0!</v>
      </c>
      <c r="T22" s="514" t="e">
        <f t="shared" si="4"/>
        <v>#DIV/0!</v>
      </c>
    </row>
    <row r="23" spans="1:20" ht="15.4" thickBot="1">
      <c r="A23" s="568" t="s">
        <v>429</v>
      </c>
      <c r="B23" s="569"/>
      <c r="C23" s="570"/>
      <c r="D23" s="518"/>
      <c r="E23" s="571"/>
      <c r="F23" s="520"/>
      <c r="G23" s="521"/>
      <c r="H23" s="522"/>
      <c r="I23" s="523"/>
      <c r="J23" s="524"/>
      <c r="K23" s="525"/>
      <c r="L23" s="526"/>
      <c r="M23" s="527"/>
      <c r="N23" s="528"/>
      <c r="O23" s="529"/>
      <c r="P23" s="530"/>
      <c r="Q23" s="531"/>
      <c r="R23" s="532">
        <f>D10</f>
        <v>0</v>
      </c>
      <c r="S23" s="533" t="e">
        <f>R23/R26</f>
        <v>#DIV/0!</v>
      </c>
      <c r="T23" s="534" t="e">
        <f t="shared" si="4"/>
        <v>#DIV/0!</v>
      </c>
    </row>
    <row r="24" spans="1:20" s="572" customFormat="1">
      <c r="B24" s="573">
        <f>SUM(B15:B23)</f>
        <v>1</v>
      </c>
      <c r="C24" s="574"/>
      <c r="D24" s="573">
        <f>SUM(D15:D23)</f>
        <v>1</v>
      </c>
      <c r="E24" s="575">
        <f>SUM(E15:E23)</f>
        <v>0.60000014999999995</v>
      </c>
      <c r="F24" s="575">
        <f>SUM(F17:F23)</f>
        <v>8.0000000000000007E-7</v>
      </c>
      <c r="G24" s="576">
        <f>SUM(G15:G23)</f>
        <v>1</v>
      </c>
      <c r="H24" s="577">
        <f>SUM(H15:H23)</f>
        <v>1.7000008</v>
      </c>
      <c r="I24" s="573"/>
      <c r="J24" s="576" t="e">
        <f>SUM(J15:J23)</f>
        <v>#DIV/0!</v>
      </c>
      <c r="K24" s="578" t="e">
        <f>SUM(K15:K23)</f>
        <v>#DIV/0!</v>
      </c>
      <c r="L24" s="573"/>
      <c r="M24" s="573" t="e">
        <f>SUM(M15:M23)</f>
        <v>#DIV/0!</v>
      </c>
      <c r="N24" s="578" t="e">
        <f>SUM(N15:N23)</f>
        <v>#DIV/0!</v>
      </c>
      <c r="O24" s="573"/>
      <c r="P24" s="573" t="e">
        <f>SUM(P15:P23)</f>
        <v>#DIV/0!</v>
      </c>
      <c r="Q24" s="578" t="e">
        <f>SUM(Q15:Q23)</f>
        <v>#DIV/0!</v>
      </c>
      <c r="S24" s="579" t="e">
        <f>SUM(S15:S23)</f>
        <v>#DIV/0!</v>
      </c>
      <c r="T24" s="575" t="e">
        <f>SUM(T15:T23)</f>
        <v>#DIV/0!</v>
      </c>
    </row>
    <row r="25" spans="1:20" s="589" customFormat="1" ht="15">
      <c r="A25" s="580" t="s">
        <v>446</v>
      </c>
      <c r="B25" s="581"/>
      <c r="C25" s="582">
        <f>C26-C18</f>
        <v>0.6</v>
      </c>
      <c r="D25" s="583"/>
      <c r="E25" s="583"/>
      <c r="F25" s="582">
        <f>F26-F19</f>
        <v>1.7</v>
      </c>
      <c r="G25" s="584"/>
      <c r="H25" s="583"/>
      <c r="I25" s="585">
        <f>I26-I20</f>
        <v>0</v>
      </c>
      <c r="J25" s="586"/>
      <c r="K25" s="583"/>
      <c r="L25" s="585">
        <f>L26-L21</f>
        <v>0</v>
      </c>
      <c r="M25" s="583"/>
      <c r="N25" s="587"/>
      <c r="O25" s="587">
        <f>O26-O22</f>
        <v>0</v>
      </c>
      <c r="P25" s="581"/>
      <c r="Q25" s="581"/>
      <c r="R25" s="581"/>
      <c r="S25" s="581"/>
      <c r="T25" s="588"/>
    </row>
    <row r="26" spans="1:20" s="589" customFormat="1" ht="15">
      <c r="A26" s="590" t="s">
        <v>447</v>
      </c>
      <c r="B26" s="591"/>
      <c r="C26" s="592">
        <f>E5</f>
        <v>0.60000014999999995</v>
      </c>
      <c r="D26" s="593"/>
      <c r="E26" s="593"/>
      <c r="F26" s="592">
        <f>E6</f>
        <v>1.7000008</v>
      </c>
      <c r="G26" s="593"/>
      <c r="H26" s="593"/>
      <c r="I26" s="594">
        <f>E7</f>
        <v>0</v>
      </c>
      <c r="J26" s="593"/>
      <c r="K26" s="593"/>
      <c r="L26" s="594">
        <f>E8</f>
        <v>0</v>
      </c>
      <c r="M26" s="593"/>
      <c r="N26" s="595"/>
      <c r="O26" s="595">
        <f>E9</f>
        <v>0</v>
      </c>
      <c r="P26" s="591"/>
      <c r="Q26" s="591"/>
      <c r="R26" s="596">
        <f>E10</f>
        <v>0</v>
      </c>
      <c r="S26" s="591"/>
      <c r="T26" s="597"/>
    </row>
    <row r="27" spans="1:20" ht="15">
      <c r="A27" s="429"/>
      <c r="B27" s="429"/>
      <c r="C27" s="429"/>
      <c r="D27" s="429"/>
      <c r="E27" s="429"/>
      <c r="F27" s="429"/>
      <c r="G27" s="429"/>
      <c r="H27" s="429"/>
      <c r="I27" s="429"/>
      <c r="J27" s="429"/>
      <c r="K27" s="429"/>
      <c r="L27" s="598"/>
      <c r="M27" s="429"/>
      <c r="N27" s="429"/>
      <c r="O27" s="429"/>
      <c r="P27" s="429"/>
      <c r="Q27" s="429"/>
      <c r="R27" s="429"/>
      <c r="S27" s="429"/>
      <c r="T27" s="429"/>
    </row>
    <row r="29" spans="1:20">
      <c r="K29" s="599" t="s">
        <v>425</v>
      </c>
    </row>
    <row r="36" spans="15:15">
      <c r="O36" s="416" t="s">
        <v>448</v>
      </c>
    </row>
  </sheetData>
  <mergeCells count="6">
    <mergeCell ref="R13:T13"/>
    <mergeCell ref="C13:E13"/>
    <mergeCell ref="F13:H13"/>
    <mergeCell ref="I13:K13"/>
    <mergeCell ref="L13:N13"/>
    <mergeCell ref="O13:Q13"/>
  </mergeCells>
  <printOptions horizontalCentered="1"/>
  <pageMargins left="0" right="0" top="1" bottom="1" header="0.5" footer="0.5"/>
  <pageSetup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K35:AD55"/>
  <sheetViews>
    <sheetView zoomScale="240" zoomScaleNormal="240" workbookViewId="0"/>
  </sheetViews>
  <sheetFormatPr defaultColWidth="11.5546875" defaultRowHeight="9"/>
  <cols>
    <col min="11" max="11" width="13.21875" bestFit="1" customWidth="1"/>
  </cols>
  <sheetData>
    <row r="35" spans="30:30">
      <c r="AD35">
        <v>687000</v>
      </c>
    </row>
    <row r="36" spans="30:30">
      <c r="AD36">
        <f>AD35*0.04</f>
        <v>27480</v>
      </c>
    </row>
    <row r="51" spans="11:11">
      <c r="K51">
        <v>20000000</v>
      </c>
    </row>
    <row r="52" spans="11:11">
      <c r="K52">
        <v>100</v>
      </c>
    </row>
    <row r="53" spans="11:11">
      <c r="K53">
        <f>K51/K52</f>
        <v>200000</v>
      </c>
    </row>
    <row r="54" spans="11:11">
      <c r="K54">
        <v>50</v>
      </c>
    </row>
    <row r="55" spans="11:11">
      <c r="K55">
        <f>K53/K54</f>
        <v>4000</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4"/>
  <sheetViews>
    <sheetView showGridLines="0" zoomScale="145" zoomScaleNormal="145" workbookViewId="0">
      <pane ySplit="2" topLeftCell="A3" activePane="bottomLeft" state="frozen"/>
      <selection pane="bottomLeft" activeCell="I1" sqref="I1:I2"/>
    </sheetView>
  </sheetViews>
  <sheetFormatPr defaultColWidth="21" defaultRowHeight="10.15"/>
  <cols>
    <col min="1" max="1" width="3.44140625" style="206" customWidth="1"/>
    <col min="2" max="2" width="2" style="206" customWidth="1"/>
    <col min="3" max="3" width="3" style="206" customWidth="1"/>
    <col min="4" max="4" width="41" style="236" customWidth="1"/>
    <col min="5" max="5" width="21" style="236" customWidth="1"/>
    <col min="6" max="6" width="21" style="206" customWidth="1"/>
    <col min="7" max="7" width="21" style="236" customWidth="1"/>
    <col min="8" max="8" width="21" style="204" customWidth="1"/>
    <col min="9" max="9" width="42.5546875" style="206" bestFit="1" customWidth="1"/>
    <col min="10" max="10" width="3" style="206" customWidth="1"/>
    <col min="11" max="11" width="2" style="211" customWidth="1"/>
    <col min="12" max="12" width="2" style="206" customWidth="1"/>
    <col min="13" max="16384" width="21" style="206"/>
  </cols>
  <sheetData>
    <row r="1" spans="1:12" s="199" customFormat="1" ht="18" thickTop="1">
      <c r="A1" s="196" t="str">
        <f>I8</f>
        <v>PEP STRAW</v>
      </c>
      <c r="B1" s="196"/>
      <c r="C1" s="196"/>
      <c r="D1" s="197"/>
      <c r="E1" s="197"/>
      <c r="F1" s="197"/>
      <c r="G1" s="197"/>
      <c r="H1" s="197"/>
      <c r="I1" s="198"/>
      <c r="J1" s="198"/>
      <c r="K1" s="198"/>
      <c r="L1" s="198"/>
    </row>
    <row r="2" spans="1:12" s="202" customFormat="1" ht="17.25" customHeight="1" thickBot="1">
      <c r="A2" s="200" t="s">
        <v>19</v>
      </c>
      <c r="B2" s="200"/>
      <c r="C2" s="200"/>
      <c r="D2" s="201"/>
      <c r="E2" s="201"/>
      <c r="F2" s="201"/>
      <c r="G2" s="201"/>
      <c r="H2" s="201"/>
      <c r="I2" s="388"/>
      <c r="J2" s="200"/>
      <c r="K2" s="200"/>
      <c r="L2" s="200"/>
    </row>
    <row r="3" spans="1:12" ht="15" customHeight="1" thickTop="1">
      <c r="A3" s="203"/>
      <c r="B3" s="204"/>
      <c r="C3" s="204"/>
      <c r="D3" s="205"/>
      <c r="E3" s="204"/>
      <c r="G3" s="203"/>
      <c r="H3" s="203"/>
      <c r="I3" s="207"/>
      <c r="J3" s="207"/>
      <c r="K3" s="206"/>
    </row>
    <row r="4" spans="1:12">
      <c r="A4" s="203"/>
      <c r="B4" s="204"/>
      <c r="C4" s="204"/>
      <c r="D4" s="205"/>
      <c r="E4" s="204"/>
      <c r="G4" s="203"/>
      <c r="H4" s="203"/>
      <c r="I4" s="207"/>
      <c r="J4" s="207"/>
      <c r="K4" s="206"/>
    </row>
    <row r="5" spans="1:12">
      <c r="A5" s="203"/>
      <c r="B5" s="208"/>
      <c r="C5" s="208"/>
      <c r="D5" s="209" t="s">
        <v>20</v>
      </c>
      <c r="E5" s="210"/>
      <c r="F5" s="211"/>
      <c r="G5" s="205"/>
      <c r="H5" s="205"/>
      <c r="I5" s="212"/>
      <c r="J5" s="212"/>
      <c r="K5" s="203"/>
      <c r="L5" s="203"/>
    </row>
    <row r="6" spans="1:12">
      <c r="A6" s="203"/>
      <c r="B6" s="208"/>
      <c r="C6" s="208"/>
      <c r="D6" s="209"/>
      <c r="E6" s="210"/>
      <c r="F6" s="211"/>
      <c r="G6" s="205"/>
      <c r="H6" s="205"/>
      <c r="I6" s="212"/>
      <c r="J6" s="212"/>
      <c r="K6" s="203"/>
      <c r="L6" s="203"/>
    </row>
    <row r="7" spans="1:12" s="204" customFormat="1">
      <c r="A7" s="213"/>
      <c r="B7" s="213"/>
      <c r="C7" s="213"/>
      <c r="D7" s="214"/>
      <c r="E7" s="214"/>
      <c r="G7" s="214"/>
      <c r="I7" s="210"/>
      <c r="J7" s="210"/>
      <c r="K7" s="210"/>
      <c r="L7" s="210"/>
    </row>
    <row r="8" spans="1:12">
      <c r="A8" s="203"/>
      <c r="B8" s="203"/>
      <c r="C8" s="203"/>
      <c r="D8" s="208" t="s">
        <v>21</v>
      </c>
      <c r="E8" s="208"/>
      <c r="F8" s="215"/>
      <c r="G8" s="203"/>
      <c r="H8" s="203"/>
      <c r="I8" s="216" t="s">
        <v>318</v>
      </c>
      <c r="J8" s="203"/>
      <c r="K8" s="203"/>
    </row>
    <row r="9" spans="1:12">
      <c r="A9" s="203"/>
      <c r="B9" s="203"/>
      <c r="C9" s="203"/>
      <c r="D9" s="208" t="s">
        <v>22</v>
      </c>
      <c r="E9" s="208"/>
      <c r="F9" s="215"/>
      <c r="G9" s="203"/>
      <c r="H9" s="203"/>
      <c r="I9" s="216">
        <v>43466</v>
      </c>
      <c r="J9" s="203"/>
      <c r="K9" s="203"/>
    </row>
    <row r="10" spans="1:12">
      <c r="A10" s="203"/>
      <c r="B10" s="203"/>
      <c r="C10" s="203"/>
      <c r="D10" s="208" t="s">
        <v>23</v>
      </c>
      <c r="E10" s="208"/>
      <c r="F10" s="215"/>
      <c r="G10" s="203"/>
      <c r="H10" s="203"/>
      <c r="I10" s="216" t="s">
        <v>319</v>
      </c>
      <c r="J10" s="203"/>
      <c r="K10" s="203"/>
    </row>
    <row r="11" spans="1:12">
      <c r="A11" s="203"/>
      <c r="B11" s="203"/>
      <c r="C11" s="203"/>
      <c r="D11" s="208" t="s">
        <v>24</v>
      </c>
      <c r="E11" s="208"/>
      <c r="F11" s="215"/>
      <c r="G11" s="203"/>
      <c r="H11" s="203"/>
      <c r="I11" s="216" t="s">
        <v>320</v>
      </c>
      <c r="J11" s="203"/>
      <c r="K11" s="203"/>
    </row>
    <row r="12" spans="1:12">
      <c r="A12" s="203"/>
      <c r="B12" s="203"/>
      <c r="C12" s="203"/>
      <c r="D12" s="208" t="s">
        <v>25</v>
      </c>
      <c r="E12" s="208"/>
      <c r="F12" s="215"/>
      <c r="G12" s="203"/>
      <c r="H12" s="203"/>
      <c r="I12" s="216" t="s">
        <v>322</v>
      </c>
      <c r="J12" s="203"/>
      <c r="K12" s="203"/>
    </row>
    <row r="13" spans="1:12">
      <c r="A13" s="203"/>
      <c r="B13" s="203"/>
      <c r="C13" s="203"/>
      <c r="D13" s="208" t="s">
        <v>26</v>
      </c>
      <c r="E13" s="208"/>
      <c r="F13" s="215"/>
      <c r="G13" s="203"/>
      <c r="H13" s="203"/>
      <c r="I13" s="216" t="s">
        <v>308</v>
      </c>
      <c r="J13" s="203"/>
      <c r="K13" s="203"/>
    </row>
    <row r="14" spans="1:12">
      <c r="A14" s="203"/>
      <c r="B14" s="203"/>
      <c r="C14" s="203"/>
      <c r="D14" s="208" t="s">
        <v>307</v>
      </c>
      <c r="E14" s="208"/>
      <c r="F14" s="215"/>
      <c r="G14" s="203"/>
      <c r="H14" s="203"/>
      <c r="I14" s="216" t="s">
        <v>309</v>
      </c>
      <c r="J14" s="203"/>
      <c r="K14" s="203"/>
    </row>
    <row r="15" spans="1:12">
      <c r="A15" s="203"/>
      <c r="B15" s="203"/>
      <c r="C15" s="203"/>
      <c r="D15" s="208" t="s">
        <v>27</v>
      </c>
      <c r="E15" s="208"/>
      <c r="F15" s="215"/>
      <c r="G15" s="203"/>
      <c r="H15" s="203"/>
      <c r="I15" s="216" t="s">
        <v>310</v>
      </c>
      <c r="J15" s="203"/>
      <c r="K15" s="203"/>
    </row>
    <row r="16" spans="1:12">
      <c r="A16" s="203"/>
      <c r="B16" s="203"/>
      <c r="C16" s="203"/>
      <c r="D16" s="208" t="s">
        <v>28</v>
      </c>
      <c r="E16" s="208"/>
      <c r="F16" s="215"/>
      <c r="G16" s="203"/>
      <c r="H16" s="203"/>
      <c r="I16" s="216" t="s">
        <v>29</v>
      </c>
      <c r="J16" s="203"/>
      <c r="K16" s="203"/>
    </row>
    <row r="17" spans="1:12">
      <c r="A17" s="203"/>
      <c r="B17" s="203"/>
      <c r="C17" s="203"/>
      <c r="D17" s="208" t="s">
        <v>30</v>
      </c>
      <c r="E17" s="208"/>
      <c r="F17" s="215"/>
      <c r="G17" s="203"/>
      <c r="H17" s="203"/>
      <c r="I17" s="216" t="s">
        <v>31</v>
      </c>
      <c r="J17" s="203"/>
      <c r="K17" s="203"/>
    </row>
    <row r="18" spans="1:12">
      <c r="A18" s="203"/>
      <c r="B18" s="203"/>
      <c r="C18" s="203"/>
      <c r="D18" s="208"/>
      <c r="E18" s="208"/>
      <c r="F18" s="215"/>
      <c r="G18" s="203"/>
      <c r="H18" s="203"/>
      <c r="I18" s="203"/>
      <c r="J18" s="203"/>
      <c r="K18" s="203"/>
    </row>
    <row r="19" spans="1:12">
      <c r="A19" s="203"/>
      <c r="B19" s="204"/>
      <c r="C19" s="204"/>
      <c r="D19" s="205"/>
      <c r="E19" s="204"/>
      <c r="G19" s="203"/>
      <c r="H19" s="203"/>
      <c r="I19" s="207"/>
      <c r="J19" s="207"/>
      <c r="K19" s="206"/>
    </row>
    <row r="20" spans="1:12">
      <c r="A20" s="203"/>
      <c r="B20" s="208"/>
      <c r="C20" s="208"/>
      <c r="D20" s="209" t="s">
        <v>32</v>
      </c>
      <c r="E20" s="210"/>
      <c r="F20" s="211"/>
      <c r="G20" s="205"/>
      <c r="H20" s="205"/>
      <c r="I20" s="212"/>
      <c r="J20" s="212"/>
      <c r="K20" s="203"/>
      <c r="L20" s="203"/>
    </row>
    <row r="21" spans="1:12">
      <c r="A21" s="203"/>
      <c r="B21" s="208"/>
      <c r="C21" s="208"/>
      <c r="D21" s="209"/>
      <c r="E21" s="210"/>
      <c r="F21" s="211"/>
      <c r="G21" s="205"/>
      <c r="H21" s="205"/>
      <c r="I21" s="212"/>
      <c r="J21" s="212"/>
      <c r="K21" s="203"/>
      <c r="L21" s="203"/>
    </row>
    <row r="22" spans="1:12">
      <c r="A22" s="203"/>
      <c r="B22" s="208"/>
      <c r="C22" s="208"/>
      <c r="D22" s="209"/>
      <c r="E22" s="210"/>
      <c r="F22" s="211"/>
      <c r="G22" s="205"/>
      <c r="H22" s="205"/>
      <c r="I22" s="212"/>
      <c r="J22" s="212"/>
      <c r="K22" s="203"/>
      <c r="L22" s="203"/>
    </row>
    <row r="23" spans="1:12">
      <c r="A23" s="203"/>
      <c r="B23" s="203"/>
      <c r="C23" s="203"/>
      <c r="D23" s="217" t="s">
        <v>33</v>
      </c>
      <c r="E23" s="218">
        <f>Details!R1</f>
        <v>43807</v>
      </c>
      <c r="F23" s="219">
        <f>Details!AE1</f>
        <v>44179</v>
      </c>
      <c r="G23" s="219">
        <f>Details!AF1</f>
        <v>44544</v>
      </c>
      <c r="H23" s="219">
        <f>Details!AG1</f>
        <v>44909</v>
      </c>
      <c r="I23" s="220">
        <f>Details!AH1</f>
        <v>45274</v>
      </c>
      <c r="J23" s="221"/>
      <c r="K23" s="214"/>
      <c r="L23" s="203"/>
    </row>
    <row r="24" spans="1:12">
      <c r="A24" s="203"/>
      <c r="B24" s="203"/>
      <c r="C24" s="203"/>
      <c r="D24" s="222" t="str">
        <f>$I$10</f>
        <v>PEP Straw 1</v>
      </c>
      <c r="E24" s="223">
        <f>Details!R231</f>
        <v>352500</v>
      </c>
      <c r="F24" s="224">
        <f>Details!AE231</f>
        <v>4121875</v>
      </c>
      <c r="G24" s="224">
        <f>Details!AF231</f>
        <v>9334931</v>
      </c>
      <c r="H24" s="224">
        <f>Details!AG231</f>
        <v>11234089</v>
      </c>
      <c r="I24" s="225">
        <f>Details!AH231</f>
        <v>13340438</v>
      </c>
      <c r="J24" s="226"/>
      <c r="K24" s="206"/>
      <c r="L24" s="203"/>
    </row>
    <row r="25" spans="1:12">
      <c r="A25" s="203"/>
      <c r="B25" s="203"/>
      <c r="C25" s="203"/>
      <c r="D25" s="227" t="str">
        <f>$I$11</f>
        <v>PEP Straw 2</v>
      </c>
      <c r="E25" s="228">
        <f>Details!R232</f>
        <v>0</v>
      </c>
      <c r="F25" s="226">
        <f>Details!AE232</f>
        <v>0</v>
      </c>
      <c r="G25" s="226">
        <f>Details!AF232</f>
        <v>748459</v>
      </c>
      <c r="H25" s="226">
        <f>Details!AG232</f>
        <v>2046683</v>
      </c>
      <c r="I25" s="229">
        <f>Details!AH232</f>
        <v>3440157</v>
      </c>
      <c r="J25" s="226"/>
      <c r="K25" s="206"/>
      <c r="L25" s="203"/>
    </row>
    <row r="26" spans="1:12" s="230" customFormat="1">
      <c r="A26" s="203"/>
      <c r="B26" s="203"/>
      <c r="C26" s="203"/>
      <c r="D26" s="227" t="str">
        <f>$I$12</f>
        <v>PEP Straw 3</v>
      </c>
      <c r="E26" s="228">
        <f>Details!R233</f>
        <v>0</v>
      </c>
      <c r="F26" s="226">
        <f>Details!AE233</f>
        <v>0</v>
      </c>
      <c r="G26" s="226">
        <f>Details!AF233</f>
        <v>0</v>
      </c>
      <c r="H26" s="226">
        <f>Details!AG233</f>
        <v>1341657</v>
      </c>
      <c r="I26" s="229">
        <f>Details!AH233</f>
        <v>2638432</v>
      </c>
      <c r="J26" s="226"/>
      <c r="K26" s="203"/>
      <c r="L26" s="203"/>
    </row>
    <row r="27" spans="1:12" s="230" customFormat="1">
      <c r="A27" s="203"/>
      <c r="B27" s="203"/>
      <c r="C27" s="203"/>
      <c r="D27" s="227" t="str">
        <f>$I$13</f>
        <v>PRODUCT 4</v>
      </c>
      <c r="E27" s="228">
        <f>Details!R234</f>
        <v>0</v>
      </c>
      <c r="F27" s="226">
        <f>Details!AE234</f>
        <v>0</v>
      </c>
      <c r="G27" s="226">
        <f>Details!AF234</f>
        <v>0</v>
      </c>
      <c r="H27" s="226">
        <f>Details!AG234</f>
        <v>0</v>
      </c>
      <c r="I27" s="229">
        <f>Details!AH234</f>
        <v>0</v>
      </c>
      <c r="J27" s="226"/>
      <c r="K27" s="203"/>
      <c r="L27" s="203"/>
    </row>
    <row r="28" spans="1:12" s="230" customFormat="1">
      <c r="A28" s="203"/>
      <c r="B28" s="203"/>
      <c r="C28" s="203"/>
      <c r="D28" s="231" t="str">
        <f>$I$14</f>
        <v>PRODUCT 5</v>
      </c>
      <c r="E28" s="232">
        <f>Details!R235</f>
        <v>0</v>
      </c>
      <c r="F28" s="233">
        <f>Details!AE235</f>
        <v>0</v>
      </c>
      <c r="G28" s="233">
        <f>Details!AF235</f>
        <v>0</v>
      </c>
      <c r="H28" s="233">
        <f>Details!AG235</f>
        <v>0</v>
      </c>
      <c r="I28" s="234">
        <f>Details!AH235</f>
        <v>0</v>
      </c>
      <c r="J28" s="226"/>
      <c r="K28" s="203"/>
      <c r="L28" s="203"/>
    </row>
    <row r="29" spans="1:12" s="230" customFormat="1">
      <c r="A29" s="203"/>
      <c r="B29" s="203"/>
      <c r="C29" s="203"/>
      <c r="D29" s="235"/>
      <c r="E29" s="226"/>
      <c r="F29" s="226"/>
      <c r="G29" s="226"/>
      <c r="H29" s="226"/>
      <c r="I29" s="226"/>
      <c r="J29" s="226"/>
      <c r="K29" s="203"/>
      <c r="L29" s="203"/>
    </row>
    <row r="30" spans="1:12" s="230" customFormat="1">
      <c r="A30" s="203"/>
      <c r="B30" s="203"/>
      <c r="C30" s="203"/>
      <c r="D30" s="235"/>
      <c r="E30" s="226"/>
      <c r="F30" s="226"/>
      <c r="G30" s="226"/>
      <c r="H30" s="226"/>
      <c r="I30" s="226"/>
      <c r="J30" s="226"/>
      <c r="K30" s="203"/>
      <c r="L30" s="203"/>
    </row>
    <row r="31" spans="1:12" s="230" customFormat="1">
      <c r="A31" s="203"/>
      <c r="B31" s="203"/>
      <c r="C31" s="203"/>
      <c r="D31" s="217" t="s">
        <v>34</v>
      </c>
      <c r="E31" s="218">
        <f>$E$23</f>
        <v>43807</v>
      </c>
      <c r="F31" s="219">
        <f>$F$23</f>
        <v>44179</v>
      </c>
      <c r="G31" s="219">
        <f>$G$23</f>
        <v>44544</v>
      </c>
      <c r="H31" s="219">
        <f>$H$23</f>
        <v>44909</v>
      </c>
      <c r="I31" s="220">
        <f>$I$23</f>
        <v>45274</v>
      </c>
      <c r="J31" s="221"/>
      <c r="K31" s="236"/>
      <c r="L31" s="203"/>
    </row>
    <row r="32" spans="1:12">
      <c r="A32" s="203"/>
      <c r="B32" s="203"/>
      <c r="C32" s="203"/>
      <c r="D32" s="222" t="str">
        <f>$I$10</f>
        <v>PEP Straw 1</v>
      </c>
      <c r="E32" s="358">
        <f>IF(E24&gt;0,Details!R246/E24,0)</f>
        <v>1.05</v>
      </c>
      <c r="F32" s="359">
        <f>IF(F24&gt;0,Details!AE246/F24,0)</f>
        <v>1.0500000000000003</v>
      </c>
      <c r="G32" s="359">
        <f>IF(G24&gt;0,Details!AF246/G24,0)</f>
        <v>1.05</v>
      </c>
      <c r="H32" s="359">
        <f>IF(H24&gt;0,Details!AG246/H24,0)</f>
        <v>1.05</v>
      </c>
      <c r="I32" s="360">
        <f>IF(I24&gt;0,Details!AH246/I24,0)</f>
        <v>1.05</v>
      </c>
      <c r="J32" s="226"/>
      <c r="K32" s="208"/>
      <c r="L32" s="203"/>
    </row>
    <row r="33" spans="1:13">
      <c r="A33" s="203"/>
      <c r="B33" s="203"/>
      <c r="C33" s="203"/>
      <c r="D33" s="227" t="str">
        <f>$I$11</f>
        <v>PEP Straw 2</v>
      </c>
      <c r="E33" s="361">
        <f>IF(E25&gt;0,Details!R247/E25,0)</f>
        <v>0</v>
      </c>
      <c r="F33" s="362">
        <f>IF(F25&gt;0,Details!AE247/F25,0)</f>
        <v>0</v>
      </c>
      <c r="G33" s="362">
        <f>IF(G25&gt;0,Details!AF247/G25,0)</f>
        <v>1.05</v>
      </c>
      <c r="H33" s="362">
        <f>IF(H25&gt;0,Details!AG247/H25,0)</f>
        <v>1.05</v>
      </c>
      <c r="I33" s="363">
        <f>IF(I25&gt;0,Details!AH247/I25,0)</f>
        <v>1.05</v>
      </c>
      <c r="J33" s="226"/>
      <c r="K33" s="208"/>
      <c r="L33" s="203"/>
    </row>
    <row r="34" spans="1:13">
      <c r="A34" s="203"/>
      <c r="B34" s="203"/>
      <c r="C34" s="203"/>
      <c r="D34" s="227" t="str">
        <f>$I$12</f>
        <v>PEP Straw 3</v>
      </c>
      <c r="E34" s="361">
        <f>IF(E26&gt;0,Details!R248/E26,0)</f>
        <v>0</v>
      </c>
      <c r="F34" s="362">
        <f>IF(F26&gt;0,Details!AE248/F26,0)</f>
        <v>0</v>
      </c>
      <c r="G34" s="362">
        <f>IF(G26&gt;0,Details!AF248/G26,0)</f>
        <v>0</v>
      </c>
      <c r="H34" s="362">
        <f>IF(H26&gt;0,Details!AG248/H26,0)</f>
        <v>1.05</v>
      </c>
      <c r="I34" s="363">
        <f>IF(I26&gt;0,Details!AH248/I26,0)</f>
        <v>1.05</v>
      </c>
      <c r="J34" s="226"/>
      <c r="K34" s="204"/>
      <c r="L34" s="203"/>
    </row>
    <row r="35" spans="1:13">
      <c r="A35" s="203"/>
      <c r="B35" s="203"/>
      <c r="C35" s="203"/>
      <c r="D35" s="227" t="str">
        <f>$I$13</f>
        <v>PRODUCT 4</v>
      </c>
      <c r="E35" s="361">
        <f>IF(E27&gt;0,Details!R249/E27,0)</f>
        <v>0</v>
      </c>
      <c r="F35" s="362">
        <f>IF(F27&gt;0,Details!AE249/F27,0)</f>
        <v>0</v>
      </c>
      <c r="G35" s="362">
        <f>IF(G27&gt;0,Details!AF249/G27,0)</f>
        <v>0</v>
      </c>
      <c r="H35" s="362">
        <f>IF(H27&gt;0,Details!AG249/H27,0)</f>
        <v>0</v>
      </c>
      <c r="I35" s="363">
        <f>IF(I27&gt;0,Details!AH249/I27,0)</f>
        <v>0</v>
      </c>
      <c r="J35" s="226"/>
      <c r="K35" s="203"/>
      <c r="L35" s="203"/>
    </row>
    <row r="36" spans="1:13">
      <c r="A36" s="203"/>
      <c r="B36" s="203"/>
      <c r="C36" s="203"/>
      <c r="D36" s="231" t="str">
        <f>$I$14</f>
        <v>PRODUCT 5</v>
      </c>
      <c r="E36" s="364">
        <f>IF(E28&gt;0,Details!R250/E28,0)</f>
        <v>0</v>
      </c>
      <c r="F36" s="365">
        <f>IF(F28&gt;0,Details!AE250/F28,0)</f>
        <v>0</v>
      </c>
      <c r="G36" s="365">
        <f>IF(G28&gt;0,Details!AF250/G28,0)</f>
        <v>0</v>
      </c>
      <c r="H36" s="365">
        <f>IF(H28&gt;0,Details!AG250/H28,0)</f>
        <v>0</v>
      </c>
      <c r="I36" s="366">
        <f>IF(I28&gt;0,Details!AH250/I28,0)</f>
        <v>0</v>
      </c>
      <c r="J36" s="226"/>
      <c r="K36" s="203"/>
      <c r="L36" s="203"/>
    </row>
    <row r="37" spans="1:13">
      <c r="A37" s="203"/>
      <c r="B37" s="203"/>
      <c r="C37" s="203"/>
      <c r="D37" s="235"/>
      <c r="E37" s="226"/>
      <c r="F37" s="226"/>
      <c r="G37" s="226"/>
      <c r="H37" s="226"/>
      <c r="I37" s="226"/>
      <c r="J37" s="226"/>
      <c r="K37" s="203"/>
      <c r="L37" s="203"/>
    </row>
    <row r="38" spans="1:13">
      <c r="A38" s="203"/>
      <c r="B38" s="203"/>
      <c r="C38" s="203"/>
      <c r="D38" s="235"/>
      <c r="E38" s="226"/>
      <c r="F38" s="226"/>
      <c r="G38" s="226"/>
      <c r="H38" s="226"/>
      <c r="I38" s="226"/>
      <c r="J38" s="226"/>
      <c r="K38" s="203"/>
      <c r="L38" s="203"/>
    </row>
    <row r="39" spans="1:13">
      <c r="A39" s="203"/>
      <c r="B39" s="203"/>
      <c r="C39" s="203"/>
      <c r="D39" s="209" t="s">
        <v>35</v>
      </c>
      <c r="E39" s="209"/>
      <c r="F39" s="209"/>
      <c r="G39" s="205"/>
      <c r="H39" s="205"/>
      <c r="I39" s="205"/>
      <c r="J39" s="203"/>
      <c r="K39" s="206"/>
      <c r="L39" s="203"/>
    </row>
    <row r="40" spans="1:13">
      <c r="A40" s="203"/>
      <c r="B40" s="203"/>
      <c r="C40" s="203"/>
      <c r="D40" s="209"/>
      <c r="E40" s="209"/>
      <c r="F40" s="209"/>
      <c r="G40" s="205"/>
      <c r="H40" s="205"/>
      <c r="I40" s="205"/>
      <c r="J40" s="203"/>
      <c r="K40" s="206"/>
      <c r="L40" s="203"/>
    </row>
    <row r="41" spans="1:13">
      <c r="A41" s="203"/>
      <c r="B41" s="203"/>
      <c r="C41" s="203"/>
      <c r="D41" s="203"/>
      <c r="E41" s="203"/>
      <c r="F41" s="203"/>
      <c r="G41" s="237"/>
      <c r="H41" s="203"/>
      <c r="I41" s="203"/>
      <c r="J41" s="203"/>
      <c r="K41" s="206"/>
      <c r="L41" s="203"/>
    </row>
    <row r="42" spans="1:13">
      <c r="A42" s="203"/>
      <c r="B42" s="203"/>
      <c r="C42" s="203"/>
      <c r="D42" s="214" t="s">
        <v>36</v>
      </c>
      <c r="E42" s="215"/>
      <c r="F42" s="238" t="s">
        <v>37</v>
      </c>
      <c r="G42" s="239"/>
      <c r="H42" s="215"/>
      <c r="I42" s="240">
        <v>15</v>
      </c>
      <c r="J42" s="203"/>
      <c r="K42" s="206"/>
      <c r="L42" s="203"/>
      <c r="M42" s="206" t="s">
        <v>384</v>
      </c>
    </row>
    <row r="43" spans="1:13">
      <c r="A43" s="203"/>
      <c r="B43" s="203"/>
      <c r="C43" s="203"/>
      <c r="D43" s="214" t="s">
        <v>38</v>
      </c>
      <c r="E43" s="215"/>
      <c r="F43" s="238" t="s">
        <v>39</v>
      </c>
      <c r="G43" s="239"/>
      <c r="H43" s="215"/>
      <c r="I43" s="241">
        <v>30</v>
      </c>
      <c r="J43" s="203"/>
      <c r="K43" s="206"/>
      <c r="L43" s="203"/>
    </row>
    <row r="44" spans="1:13">
      <c r="A44" s="203"/>
      <c r="B44" s="203"/>
      <c r="C44" s="203"/>
      <c r="D44" s="214" t="s">
        <v>40</v>
      </c>
      <c r="E44" s="215"/>
      <c r="F44" s="238" t="s">
        <v>41</v>
      </c>
      <c r="G44" s="239"/>
      <c r="H44" s="215"/>
      <c r="I44" s="241">
        <v>15</v>
      </c>
      <c r="J44" s="212"/>
      <c r="K44" s="206"/>
      <c r="L44" s="203"/>
    </row>
    <row r="45" spans="1:13">
      <c r="A45" s="203"/>
      <c r="B45" s="203"/>
      <c r="C45" s="203"/>
      <c r="D45" s="214" t="s">
        <v>42</v>
      </c>
      <c r="E45" s="215"/>
      <c r="F45" s="238" t="s">
        <v>43</v>
      </c>
      <c r="G45" s="239"/>
      <c r="H45" s="215"/>
      <c r="I45" s="241">
        <v>90</v>
      </c>
      <c r="J45" s="212"/>
      <c r="K45" s="206"/>
      <c r="L45" s="203"/>
    </row>
    <row r="46" spans="1:13">
      <c r="A46" s="203"/>
      <c r="B46" s="203"/>
      <c r="C46" s="203"/>
      <c r="D46" s="214" t="s">
        <v>44</v>
      </c>
      <c r="E46" s="215"/>
      <c r="F46" s="238" t="s">
        <v>45</v>
      </c>
      <c r="G46" s="239"/>
      <c r="H46" s="215"/>
      <c r="I46" s="242">
        <v>0</v>
      </c>
      <c r="J46" s="212"/>
      <c r="K46" s="206"/>
      <c r="L46" s="203"/>
    </row>
    <row r="47" spans="1:13">
      <c r="A47" s="203"/>
      <c r="B47" s="203"/>
      <c r="C47" s="203"/>
      <c r="D47" s="214" t="s">
        <v>46</v>
      </c>
      <c r="E47" s="215"/>
      <c r="F47" s="238" t="s">
        <v>47</v>
      </c>
      <c r="G47" s="239"/>
      <c r="H47" s="215"/>
      <c r="I47" s="243">
        <v>0</v>
      </c>
      <c r="J47" s="221"/>
      <c r="K47" s="206"/>
      <c r="L47" s="203"/>
    </row>
    <row r="48" spans="1:13">
      <c r="A48" s="203"/>
      <c r="B48" s="203"/>
      <c r="C48" s="203"/>
      <c r="D48" s="214" t="s">
        <v>48</v>
      </c>
      <c r="E48" s="215"/>
      <c r="F48" s="238" t="s">
        <v>49</v>
      </c>
      <c r="G48" s="239"/>
      <c r="H48" s="215"/>
      <c r="I48" s="244">
        <v>3</v>
      </c>
      <c r="J48" s="226"/>
      <c r="K48" s="203"/>
      <c r="L48" s="203"/>
    </row>
    <row r="49" spans="1:12">
      <c r="A49" s="203"/>
      <c r="B49" s="203"/>
      <c r="C49" s="203"/>
      <c r="D49" s="214" t="s">
        <v>50</v>
      </c>
      <c r="E49" s="215"/>
      <c r="F49" s="238" t="s">
        <v>49</v>
      </c>
      <c r="G49" s="239"/>
      <c r="H49" s="215"/>
      <c r="I49" s="244">
        <v>5</v>
      </c>
      <c r="J49" s="226"/>
      <c r="K49" s="203"/>
      <c r="L49" s="203"/>
    </row>
    <row r="50" spans="1:12">
      <c r="A50" s="203"/>
      <c r="B50" s="203"/>
      <c r="C50" s="203"/>
      <c r="D50" s="214"/>
      <c r="E50" s="215"/>
      <c r="F50" s="238"/>
      <c r="G50" s="239"/>
      <c r="H50" s="215"/>
      <c r="I50" s="215"/>
      <c r="J50" s="226"/>
      <c r="K50" s="203"/>
      <c r="L50" s="203"/>
    </row>
    <row r="51" spans="1:12">
      <c r="A51" s="203"/>
      <c r="B51" s="203"/>
      <c r="C51" s="203"/>
      <c r="D51" s="203"/>
      <c r="E51" s="203"/>
      <c r="F51" s="203"/>
      <c r="G51" s="203"/>
      <c r="H51" s="203"/>
      <c r="I51" s="203"/>
      <c r="J51" s="226"/>
      <c r="K51" s="203"/>
      <c r="L51" s="203"/>
    </row>
    <row r="52" spans="1:12">
      <c r="A52" s="203"/>
      <c r="B52" s="203"/>
      <c r="C52" s="203"/>
      <c r="D52" s="245" t="s">
        <v>51</v>
      </c>
      <c r="E52" s="246" t="s">
        <v>52</v>
      </c>
      <c r="F52" s="246" t="s">
        <v>53</v>
      </c>
      <c r="G52" s="247" t="s">
        <v>54</v>
      </c>
      <c r="H52" s="203"/>
      <c r="I52" s="203"/>
      <c r="J52" s="226"/>
      <c r="K52" s="203"/>
      <c r="L52" s="203"/>
    </row>
    <row r="53" spans="1:12">
      <c r="A53" s="203"/>
      <c r="B53" s="203"/>
      <c r="C53" s="203"/>
      <c r="D53" s="248" t="str">
        <f>$I$15</f>
        <v>Engineering</v>
      </c>
      <c r="E53" s="249">
        <v>5</v>
      </c>
      <c r="F53" s="249">
        <v>3</v>
      </c>
      <c r="G53" s="250">
        <v>5</v>
      </c>
      <c r="H53" s="203"/>
      <c r="I53" s="203"/>
      <c r="J53" s="203"/>
      <c r="K53" s="203"/>
      <c r="L53" s="203"/>
    </row>
    <row r="54" spans="1:12">
      <c r="A54" s="203"/>
      <c r="B54" s="203"/>
      <c r="C54" s="203"/>
      <c r="D54" s="248" t="str">
        <f>$I$16</f>
        <v>Sales &amp; Marketing</v>
      </c>
      <c r="E54" s="249">
        <v>3</v>
      </c>
      <c r="F54" s="249">
        <v>3</v>
      </c>
      <c r="G54" s="250">
        <v>5</v>
      </c>
      <c r="H54" s="203"/>
      <c r="I54" s="203"/>
      <c r="J54" s="203"/>
      <c r="K54" s="203"/>
      <c r="L54" s="203"/>
    </row>
    <row r="55" spans="1:12">
      <c r="A55" s="203"/>
      <c r="B55" s="203"/>
      <c r="C55" s="203"/>
      <c r="D55" s="251" t="str">
        <f>$I$17</f>
        <v>Administration</v>
      </c>
      <c r="E55" s="252">
        <v>3</v>
      </c>
      <c r="F55" s="252">
        <v>3</v>
      </c>
      <c r="G55" s="253">
        <v>5</v>
      </c>
      <c r="H55" s="203"/>
      <c r="I55" s="203"/>
      <c r="J55" s="203"/>
      <c r="K55" s="203"/>
      <c r="L55" s="203"/>
    </row>
    <row r="56" spans="1:12">
      <c r="A56" s="203"/>
      <c r="B56" s="203"/>
      <c r="C56" s="203"/>
      <c r="D56" s="203"/>
      <c r="E56" s="203"/>
      <c r="F56" s="203"/>
      <c r="G56" s="203"/>
      <c r="H56" s="203"/>
      <c r="I56" s="203"/>
      <c r="J56" s="203"/>
      <c r="K56" s="203"/>
      <c r="L56" s="203"/>
    </row>
    <row r="57" spans="1:12">
      <c r="A57" s="203"/>
      <c r="B57" s="203"/>
      <c r="C57" s="203"/>
      <c r="D57" s="203"/>
      <c r="E57" s="203"/>
      <c r="F57" s="203"/>
      <c r="G57" s="203"/>
      <c r="H57" s="203"/>
      <c r="I57" s="203"/>
      <c r="J57" s="203"/>
      <c r="K57" s="203"/>
      <c r="L57" s="203"/>
    </row>
    <row r="58" spans="1:12">
      <c r="A58" s="203"/>
      <c r="B58" s="203"/>
      <c r="C58" s="203"/>
      <c r="D58" s="209" t="s">
        <v>55</v>
      </c>
      <c r="E58" s="210"/>
      <c r="F58" s="211"/>
      <c r="G58" s="205"/>
      <c r="H58" s="205"/>
      <c r="I58" s="212"/>
      <c r="J58" s="203"/>
      <c r="K58" s="203"/>
      <c r="L58" s="203"/>
    </row>
    <row r="59" spans="1:12">
      <c r="A59" s="203"/>
      <c r="B59" s="203"/>
      <c r="C59" s="203"/>
      <c r="D59" s="209"/>
      <c r="E59" s="210"/>
      <c r="F59" s="211"/>
      <c r="G59" s="205"/>
      <c r="H59" s="205"/>
      <c r="I59" s="212"/>
      <c r="J59" s="203"/>
      <c r="K59" s="203"/>
      <c r="L59" s="203"/>
    </row>
    <row r="60" spans="1:12">
      <c r="A60" s="203"/>
      <c r="B60" s="203"/>
      <c r="C60" s="203"/>
      <c r="D60" s="209"/>
      <c r="E60" s="210"/>
      <c r="F60" s="211"/>
      <c r="G60" s="205"/>
      <c r="H60" s="205"/>
      <c r="I60" s="212"/>
      <c r="J60" s="203"/>
      <c r="K60" s="203"/>
      <c r="L60" s="203"/>
    </row>
    <row r="61" spans="1:12">
      <c r="A61" s="203"/>
      <c r="B61" s="203"/>
      <c r="C61" s="203"/>
      <c r="D61" s="217" t="s">
        <v>56</v>
      </c>
      <c r="E61" s="218">
        <f>E$23</f>
        <v>43807</v>
      </c>
      <c r="F61" s="219">
        <f>F$23</f>
        <v>44179</v>
      </c>
      <c r="G61" s="219">
        <f>G$23</f>
        <v>44544</v>
      </c>
      <c r="H61" s="219">
        <f>H$23</f>
        <v>44909</v>
      </c>
      <c r="I61" s="220">
        <f>I$23</f>
        <v>45274</v>
      </c>
      <c r="J61" s="203"/>
      <c r="K61" s="203"/>
      <c r="L61" s="203"/>
    </row>
    <row r="62" spans="1:12">
      <c r="A62" s="203"/>
      <c r="B62" s="203"/>
      <c r="C62" s="203"/>
      <c r="D62" s="248" t="str">
        <f>$I$15</f>
        <v>Engineering</v>
      </c>
      <c r="E62" s="254">
        <f>Details!R267</f>
        <v>0.5</v>
      </c>
      <c r="F62" s="255">
        <f>Details!AE267</f>
        <v>1</v>
      </c>
      <c r="G62" s="255">
        <f>Details!AF267</f>
        <v>2</v>
      </c>
      <c r="H62" s="255">
        <f>Details!AG267</f>
        <v>4</v>
      </c>
      <c r="I62" s="256">
        <f>Details!AH267</f>
        <v>4</v>
      </c>
      <c r="J62" s="203"/>
      <c r="K62" s="203"/>
      <c r="L62" s="203"/>
    </row>
    <row r="63" spans="1:12">
      <c r="A63" s="203"/>
      <c r="B63" s="203"/>
      <c r="C63" s="203"/>
      <c r="D63" s="248" t="str">
        <f>$I$16</f>
        <v>Sales &amp; Marketing</v>
      </c>
      <c r="E63" s="254">
        <f>Details!R276</f>
        <v>1</v>
      </c>
      <c r="F63" s="255">
        <f>Details!AE276</f>
        <v>4</v>
      </c>
      <c r="G63" s="255">
        <f>Details!AF276</f>
        <v>6</v>
      </c>
      <c r="H63" s="255">
        <f>Details!AG276</f>
        <v>9</v>
      </c>
      <c r="I63" s="256">
        <f>Details!AH276</f>
        <v>11</v>
      </c>
      <c r="J63" s="203"/>
      <c r="K63" s="203"/>
      <c r="L63" s="203"/>
    </row>
    <row r="64" spans="1:12">
      <c r="A64" s="203"/>
      <c r="B64" s="203"/>
      <c r="C64" s="203"/>
      <c r="D64" s="251" t="str">
        <f>$I$17</f>
        <v>Administration</v>
      </c>
      <c r="E64" s="257">
        <f>Details!R286</f>
        <v>2</v>
      </c>
      <c r="F64" s="258">
        <f>Details!AE286</f>
        <v>4</v>
      </c>
      <c r="G64" s="258">
        <f>Details!AF286</f>
        <v>4</v>
      </c>
      <c r="H64" s="258">
        <f>Details!AG286</f>
        <v>5</v>
      </c>
      <c r="I64" s="259">
        <f>Details!AH286</f>
        <v>5</v>
      </c>
      <c r="J64" s="203"/>
      <c r="K64" s="203"/>
      <c r="L64" s="203"/>
    </row>
    <row r="65" spans="1:12">
      <c r="A65" s="203"/>
      <c r="B65" s="203"/>
      <c r="C65" s="203"/>
      <c r="D65" s="260" t="s">
        <v>57</v>
      </c>
      <c r="E65" s="261">
        <f>SUM(E62:E64)</f>
        <v>3.5</v>
      </c>
      <c r="F65" s="262">
        <f>SUM(F62:F64)</f>
        <v>9</v>
      </c>
      <c r="G65" s="262">
        <f>SUM(G62:G64)</f>
        <v>12</v>
      </c>
      <c r="H65" s="262">
        <f>SUM(H62:H64)</f>
        <v>18</v>
      </c>
      <c r="I65" s="263">
        <f>SUM(I62:I64)</f>
        <v>20</v>
      </c>
      <c r="J65" s="203"/>
      <c r="K65" s="203"/>
      <c r="L65" s="203"/>
    </row>
    <row r="66" spans="1:12">
      <c r="A66" s="203"/>
      <c r="B66" s="203"/>
      <c r="C66" s="203"/>
      <c r="D66" s="203"/>
      <c r="E66" s="203"/>
      <c r="F66" s="203"/>
      <c r="G66" s="203"/>
      <c r="H66" s="203"/>
      <c r="I66" s="203"/>
      <c r="J66" s="203"/>
      <c r="K66" s="203"/>
      <c r="L66" s="203"/>
    </row>
    <row r="67" spans="1:12">
      <c r="A67" s="203"/>
      <c r="B67" s="215"/>
      <c r="C67" s="203"/>
      <c r="D67" s="209"/>
      <c r="E67" s="210"/>
      <c r="F67" s="211"/>
      <c r="G67" s="205"/>
      <c r="H67" s="203"/>
      <c r="I67" s="203"/>
      <c r="J67" s="203"/>
      <c r="K67" s="215"/>
      <c r="L67" s="203"/>
    </row>
    <row r="68" spans="1:12">
      <c r="A68" s="203"/>
      <c r="B68" s="215"/>
      <c r="C68" s="203"/>
      <c r="D68" s="245" t="s">
        <v>58</v>
      </c>
      <c r="E68" s="264" t="s">
        <v>59</v>
      </c>
      <c r="F68" s="264" t="s">
        <v>60</v>
      </c>
      <c r="G68" s="265" t="s">
        <v>61</v>
      </c>
      <c r="H68" s="215"/>
      <c r="I68" s="203"/>
      <c r="J68" s="203"/>
      <c r="K68" s="215"/>
      <c r="L68" s="203"/>
    </row>
    <row r="69" spans="1:12">
      <c r="A69" s="203"/>
      <c r="B69" s="215"/>
      <c r="C69" s="203"/>
      <c r="D69" s="248" t="str">
        <f>$I$15</f>
        <v>Engineering</v>
      </c>
      <c r="E69" s="266">
        <v>400</v>
      </c>
      <c r="F69" s="266">
        <v>250</v>
      </c>
      <c r="G69" s="267">
        <v>100</v>
      </c>
      <c r="H69" s="215"/>
      <c r="I69" s="203"/>
      <c r="J69" s="203"/>
      <c r="K69" s="215"/>
      <c r="L69" s="203"/>
    </row>
    <row r="70" spans="1:12">
      <c r="A70" s="203"/>
      <c r="B70" s="215"/>
      <c r="C70" s="203"/>
      <c r="D70" s="248" t="str">
        <f>$I$16</f>
        <v>Sales &amp; Marketing</v>
      </c>
      <c r="E70" s="268">
        <v>400</v>
      </c>
      <c r="F70" s="268">
        <v>2500</v>
      </c>
      <c r="G70" s="269">
        <v>100</v>
      </c>
      <c r="H70" s="215"/>
      <c r="I70" s="203"/>
      <c r="J70" s="203"/>
      <c r="K70" s="215"/>
      <c r="L70" s="203"/>
    </row>
    <row r="71" spans="1:12">
      <c r="A71" s="203"/>
      <c r="B71" s="215"/>
      <c r="C71" s="203"/>
      <c r="D71" s="251" t="str">
        <f>$I$17</f>
        <v>Administration</v>
      </c>
      <c r="E71" s="270">
        <v>300</v>
      </c>
      <c r="F71" s="270">
        <v>500</v>
      </c>
      <c r="G71" s="271">
        <v>100</v>
      </c>
      <c r="H71" s="215"/>
      <c r="I71" s="203"/>
      <c r="J71" s="203"/>
      <c r="K71" s="215"/>
      <c r="L71" s="203"/>
    </row>
    <row r="72" spans="1:12">
      <c r="A72" s="203"/>
      <c r="B72" s="215"/>
      <c r="C72" s="203"/>
      <c r="D72" s="272"/>
      <c r="E72" s="272"/>
      <c r="F72" s="272"/>
      <c r="G72" s="272"/>
      <c r="H72" s="215"/>
      <c r="I72" s="203"/>
      <c r="J72" s="203"/>
      <c r="K72" s="215"/>
      <c r="L72" s="203"/>
    </row>
    <row r="73" spans="1:12">
      <c r="A73" s="203"/>
      <c r="B73" s="215"/>
      <c r="C73" s="203"/>
      <c r="D73" s="206"/>
      <c r="E73" s="206"/>
      <c r="G73" s="206"/>
      <c r="H73" s="215"/>
      <c r="I73" s="203"/>
      <c r="J73" s="203"/>
      <c r="K73" s="215"/>
      <c r="L73" s="203"/>
    </row>
    <row r="74" spans="1:12">
      <c r="A74" s="203"/>
      <c r="B74" s="215"/>
      <c r="C74" s="203"/>
      <c r="D74" s="245" t="s">
        <v>5</v>
      </c>
      <c r="E74" s="264" t="s">
        <v>52</v>
      </c>
      <c r="F74" s="264" t="s">
        <v>53</v>
      </c>
      <c r="G74" s="265" t="s">
        <v>54</v>
      </c>
      <c r="H74" s="215"/>
      <c r="I74" s="203"/>
      <c r="J74" s="203"/>
      <c r="K74" s="215"/>
      <c r="L74" s="203"/>
    </row>
    <row r="75" spans="1:12">
      <c r="A75" s="203"/>
      <c r="B75" s="215"/>
      <c r="C75" s="203"/>
      <c r="D75" s="248" t="str">
        <f>$I$15</f>
        <v>Engineering</v>
      </c>
      <c r="E75" s="266">
        <v>500</v>
      </c>
      <c r="F75" s="266">
        <v>200</v>
      </c>
      <c r="G75" s="267">
        <v>250</v>
      </c>
      <c r="H75" s="215"/>
      <c r="I75" s="203"/>
      <c r="J75" s="203"/>
      <c r="K75" s="215"/>
      <c r="L75" s="203"/>
    </row>
    <row r="76" spans="1:12">
      <c r="A76" s="203"/>
      <c r="B76" s="215"/>
      <c r="C76" s="203"/>
      <c r="D76" s="248" t="str">
        <f>$I$16</f>
        <v>Sales &amp; Marketing</v>
      </c>
      <c r="E76" s="268">
        <v>2500</v>
      </c>
      <c r="F76" s="268">
        <v>200</v>
      </c>
      <c r="G76" s="269">
        <v>250</v>
      </c>
      <c r="H76" s="215"/>
      <c r="I76" s="203"/>
      <c r="J76" s="203"/>
      <c r="K76" s="215"/>
      <c r="L76" s="203"/>
    </row>
    <row r="77" spans="1:12">
      <c r="A77" s="203"/>
      <c r="B77" s="215"/>
      <c r="C77" s="203"/>
      <c r="D77" s="251" t="str">
        <f>$I$17</f>
        <v>Administration</v>
      </c>
      <c r="E77" s="270">
        <v>500</v>
      </c>
      <c r="F77" s="270">
        <v>200</v>
      </c>
      <c r="G77" s="271">
        <v>250</v>
      </c>
      <c r="H77" s="215"/>
      <c r="I77" s="203"/>
      <c r="J77" s="203"/>
      <c r="K77" s="215"/>
      <c r="L77" s="203"/>
    </row>
    <row r="78" spans="1:12">
      <c r="A78" s="203"/>
      <c r="B78" s="215"/>
      <c r="C78" s="203"/>
      <c r="D78" s="203"/>
      <c r="E78" s="203"/>
      <c r="F78" s="203"/>
      <c r="G78" s="203"/>
      <c r="H78" s="203"/>
      <c r="I78" s="203"/>
      <c r="J78" s="203"/>
      <c r="K78" s="215"/>
      <c r="L78" s="203"/>
    </row>
    <row r="79" spans="1:12">
      <c r="A79" s="203"/>
      <c r="B79" s="215"/>
      <c r="C79" s="203"/>
      <c r="D79" s="209"/>
      <c r="E79" s="273"/>
      <c r="F79" s="274"/>
      <c r="G79" s="275"/>
      <c r="H79" s="275"/>
      <c r="I79" s="203"/>
      <c r="J79" s="203"/>
      <c r="K79" s="215"/>
      <c r="L79" s="203"/>
    </row>
    <row r="80" spans="1:12">
      <c r="A80" s="203"/>
      <c r="B80" s="215"/>
      <c r="C80" s="203"/>
      <c r="D80" s="276" t="s">
        <v>62</v>
      </c>
      <c r="E80" s="215"/>
      <c r="F80" s="277" t="s">
        <v>63</v>
      </c>
      <c r="G80" s="203"/>
      <c r="H80" s="203"/>
      <c r="I80" s="242">
        <v>0.25</v>
      </c>
      <c r="J80" s="203"/>
      <c r="K80" s="215"/>
      <c r="L80" s="203"/>
    </row>
    <row r="81" spans="1:12">
      <c r="A81" s="203"/>
      <c r="B81" s="215"/>
      <c r="C81" s="203"/>
      <c r="D81" s="276" t="s">
        <v>64</v>
      </c>
      <c r="E81" s="215"/>
      <c r="F81" s="277" t="s">
        <v>65</v>
      </c>
      <c r="G81" s="203"/>
      <c r="H81" s="203"/>
      <c r="I81" s="242">
        <v>0.04</v>
      </c>
      <c r="J81" s="203"/>
      <c r="K81" s="215"/>
      <c r="L81" s="203"/>
    </row>
    <row r="82" spans="1:12">
      <c r="B82" s="278"/>
      <c r="C82" s="278"/>
      <c r="D82" s="208" t="s">
        <v>66</v>
      </c>
      <c r="E82" s="215"/>
      <c r="F82" s="279" t="s">
        <v>67</v>
      </c>
      <c r="G82" s="203"/>
      <c r="H82" s="203"/>
      <c r="I82" s="242">
        <v>0</v>
      </c>
      <c r="J82" s="203"/>
      <c r="K82" s="203"/>
      <c r="L82" s="203"/>
    </row>
    <row r="83" spans="1:12">
      <c r="A83" s="230"/>
      <c r="D83" s="208" t="s">
        <v>68</v>
      </c>
      <c r="E83" s="215"/>
      <c r="F83" s="279" t="s">
        <v>69</v>
      </c>
      <c r="G83" s="203"/>
      <c r="H83" s="203"/>
      <c r="I83" s="242">
        <v>0</v>
      </c>
      <c r="J83" s="203"/>
      <c r="K83" s="203"/>
      <c r="L83" s="203"/>
    </row>
    <row r="84" spans="1:12">
      <c r="A84" s="230"/>
      <c r="B84" s="230"/>
      <c r="C84" s="230"/>
      <c r="D84" s="208" t="s">
        <v>70</v>
      </c>
      <c r="E84" s="215"/>
      <c r="F84" s="279" t="s">
        <v>71</v>
      </c>
      <c r="G84" s="203"/>
      <c r="H84" s="203"/>
      <c r="I84" s="280">
        <v>0.02</v>
      </c>
      <c r="J84" s="203"/>
      <c r="K84" s="203"/>
      <c r="L84" s="203"/>
    </row>
    <row r="85" spans="1:12">
      <c r="A85" s="230"/>
      <c r="B85" s="230"/>
      <c r="C85" s="230"/>
      <c r="D85" s="208" t="s">
        <v>72</v>
      </c>
      <c r="E85" s="215"/>
      <c r="F85" s="279" t="s">
        <v>73</v>
      </c>
      <c r="G85" s="203"/>
      <c r="H85" s="203"/>
      <c r="I85" s="242">
        <v>0.02</v>
      </c>
      <c r="J85" s="203"/>
      <c r="K85" s="203"/>
      <c r="L85" s="203"/>
    </row>
    <row r="86" spans="1:12">
      <c r="A86" s="230"/>
      <c r="B86" s="230"/>
      <c r="C86" s="230"/>
      <c r="D86" s="208" t="s">
        <v>74</v>
      </c>
      <c r="E86" s="215"/>
      <c r="F86" s="279" t="s">
        <v>75</v>
      </c>
      <c r="G86" s="203"/>
      <c r="H86" s="203"/>
      <c r="I86" s="281">
        <v>2E-3</v>
      </c>
      <c r="J86" s="203"/>
      <c r="K86" s="203"/>
      <c r="L86" s="203"/>
    </row>
    <row r="87" spans="1:12">
      <c r="A87" s="282"/>
      <c r="B87" s="230"/>
      <c r="C87" s="230"/>
      <c r="D87" s="208" t="s">
        <v>76</v>
      </c>
      <c r="E87" s="215"/>
      <c r="F87" s="279" t="s">
        <v>77</v>
      </c>
      <c r="G87" s="203"/>
      <c r="H87" s="203"/>
      <c r="I87" s="242">
        <v>7.0000000000000007E-2</v>
      </c>
      <c r="J87" s="203"/>
      <c r="K87" s="203"/>
      <c r="L87" s="203"/>
    </row>
    <row r="88" spans="1:12">
      <c r="A88" s="283"/>
      <c r="B88" s="282"/>
      <c r="C88" s="282"/>
      <c r="D88" s="208" t="s">
        <v>78</v>
      </c>
      <c r="E88" s="215"/>
      <c r="F88" s="279" t="s">
        <v>77</v>
      </c>
      <c r="G88" s="203"/>
      <c r="H88" s="203"/>
      <c r="I88" s="242">
        <v>0.06</v>
      </c>
      <c r="J88" s="203"/>
      <c r="K88" s="203"/>
      <c r="L88" s="203"/>
    </row>
    <row r="89" spans="1:12">
      <c r="A89" s="278"/>
      <c r="B89" s="283"/>
      <c r="C89" s="283"/>
      <c r="D89" s="208" t="s">
        <v>79</v>
      </c>
      <c r="E89" s="215"/>
      <c r="F89" s="279" t="s">
        <v>77</v>
      </c>
      <c r="G89" s="203"/>
      <c r="H89" s="203"/>
      <c r="I89" s="242">
        <v>0.1</v>
      </c>
      <c r="J89" s="203"/>
      <c r="K89" s="203"/>
      <c r="L89" s="203"/>
    </row>
    <row r="90" spans="1:12">
      <c r="B90" s="278"/>
      <c r="C90" s="278"/>
      <c r="D90" s="208" t="s">
        <v>80</v>
      </c>
      <c r="E90" s="215"/>
      <c r="F90" s="279" t="s">
        <v>81</v>
      </c>
      <c r="G90" s="203"/>
      <c r="H90" s="203"/>
      <c r="I90" s="242">
        <v>0.4</v>
      </c>
      <c r="J90" s="203"/>
      <c r="K90" s="203"/>
      <c r="L90" s="203"/>
    </row>
    <row r="91" spans="1:12">
      <c r="D91" s="208" t="s">
        <v>82</v>
      </c>
      <c r="E91" s="215"/>
      <c r="F91" s="279" t="s">
        <v>83</v>
      </c>
      <c r="G91" s="203"/>
      <c r="H91" s="203"/>
      <c r="I91" s="284">
        <v>10</v>
      </c>
      <c r="J91" s="203"/>
      <c r="K91" s="203"/>
      <c r="L91" s="203"/>
    </row>
    <row r="92" spans="1:12">
      <c r="D92" s="208" t="s">
        <v>84</v>
      </c>
      <c r="E92" s="215"/>
      <c r="F92" s="279" t="s">
        <v>85</v>
      </c>
      <c r="G92" s="203"/>
      <c r="H92" s="203"/>
      <c r="I92" s="285">
        <v>90</v>
      </c>
      <c r="J92" s="203"/>
      <c r="K92" s="203"/>
      <c r="L92" s="203"/>
    </row>
    <row r="93" spans="1:12">
      <c r="D93" s="208" t="s">
        <v>86</v>
      </c>
      <c r="E93" s="215"/>
      <c r="F93" s="279" t="s">
        <v>87</v>
      </c>
      <c r="G93" s="203"/>
      <c r="H93" s="203"/>
      <c r="I93" s="286">
        <v>60</v>
      </c>
      <c r="J93" s="203"/>
      <c r="K93" s="203"/>
      <c r="L93" s="203"/>
    </row>
    <row r="94" spans="1:12">
      <c r="D94" s="208" t="s">
        <v>88</v>
      </c>
      <c r="E94" s="215"/>
      <c r="F94" s="279" t="s">
        <v>83</v>
      </c>
      <c r="G94" s="203"/>
      <c r="H94" s="203"/>
      <c r="I94" s="284">
        <v>0.5</v>
      </c>
      <c r="J94" s="203"/>
      <c r="K94" s="203"/>
      <c r="L94" s="203"/>
    </row>
    <row r="95" spans="1:12">
      <c r="D95" s="208" t="s">
        <v>89</v>
      </c>
      <c r="E95" s="215"/>
      <c r="F95" s="279" t="s">
        <v>83</v>
      </c>
      <c r="G95" s="203"/>
      <c r="H95" s="203"/>
      <c r="I95" s="284">
        <v>0.5</v>
      </c>
      <c r="J95" s="203"/>
      <c r="K95" s="203"/>
      <c r="L95" s="203"/>
    </row>
    <row r="96" spans="1:12">
      <c r="D96" s="203"/>
      <c r="E96" s="203"/>
      <c r="F96" s="203"/>
      <c r="H96" s="203"/>
      <c r="I96" s="203"/>
      <c r="J96" s="203"/>
      <c r="K96" s="203"/>
      <c r="L96" s="203"/>
    </row>
    <row r="97" spans="1:12">
      <c r="C97" s="287"/>
      <c r="D97" s="279"/>
      <c r="E97" s="203"/>
      <c r="F97" s="203"/>
      <c r="H97" s="203"/>
      <c r="I97" s="203"/>
      <c r="J97" s="203"/>
      <c r="K97" s="203"/>
      <c r="L97" s="203"/>
    </row>
    <row r="98" spans="1:12">
      <c r="C98" s="287" t="s">
        <v>90</v>
      </c>
      <c r="D98" s="279" t="s">
        <v>91</v>
      </c>
      <c r="E98" s="203"/>
      <c r="F98" s="203"/>
      <c r="H98" s="203"/>
      <c r="I98" s="203"/>
      <c r="J98" s="203"/>
      <c r="K98" s="203"/>
      <c r="L98" s="203"/>
    </row>
    <row r="99" spans="1:12">
      <c r="C99" s="287" t="s">
        <v>90</v>
      </c>
      <c r="D99" s="279" t="s">
        <v>92</v>
      </c>
      <c r="E99" s="288"/>
      <c r="H99" s="203"/>
      <c r="I99" s="203"/>
      <c r="J99" s="203"/>
      <c r="K99" s="203"/>
      <c r="L99" s="203"/>
    </row>
    <row r="100" spans="1:12">
      <c r="C100" s="287" t="s">
        <v>90</v>
      </c>
      <c r="D100" s="279" t="s">
        <v>93</v>
      </c>
      <c r="H100" s="203"/>
      <c r="I100" s="203"/>
      <c r="J100" s="203"/>
      <c r="K100" s="203"/>
      <c r="L100" s="203"/>
    </row>
    <row r="101" spans="1:12">
      <c r="A101" s="283"/>
      <c r="C101" s="287" t="s">
        <v>90</v>
      </c>
      <c r="D101" s="279" t="s">
        <v>94</v>
      </c>
      <c r="H101" s="203"/>
      <c r="I101" s="203"/>
      <c r="J101" s="203"/>
      <c r="K101" s="203"/>
      <c r="L101" s="203"/>
    </row>
    <row r="102" spans="1:12">
      <c r="A102" s="283"/>
      <c r="B102" s="283"/>
      <c r="C102" s="287" t="s">
        <v>90</v>
      </c>
      <c r="D102" s="238" t="s">
        <v>95</v>
      </c>
      <c r="G102" s="206"/>
      <c r="H102" s="206"/>
      <c r="K102" s="206"/>
    </row>
    <row r="103" spans="1:12">
      <c r="B103" s="283"/>
      <c r="C103" s="287" t="s">
        <v>90</v>
      </c>
      <c r="D103" s="238" t="s">
        <v>96</v>
      </c>
      <c r="G103" s="206"/>
      <c r="H103" s="206"/>
      <c r="K103" s="206"/>
    </row>
    <row r="104" spans="1:12">
      <c r="C104" s="287" t="s">
        <v>90</v>
      </c>
      <c r="D104" s="279" t="str">
        <f>"Accounts payable is equal to the sum of all the month's expenses except insurance, rent, benefits and payroll taxes and is paid within 30 days time (fixed)."</f>
        <v>Accounts payable is equal to the sum of all the month's expenses except insurance, rent, benefits and payroll taxes and is paid within 30 days time (fixed).</v>
      </c>
      <c r="G104" s="206"/>
      <c r="H104" s="206"/>
      <c r="K104" s="206"/>
    </row>
    <row r="105" spans="1:12">
      <c r="C105" s="287" t="s">
        <v>90</v>
      </c>
      <c r="D105" s="238" t="s">
        <v>97</v>
      </c>
      <c r="G105" s="206"/>
      <c r="H105" s="206"/>
      <c r="K105" s="206"/>
    </row>
    <row r="106" spans="1:12">
      <c r="C106" s="287" t="s">
        <v>90</v>
      </c>
      <c r="D106" s="279" t="s">
        <v>98</v>
      </c>
      <c r="G106" s="206"/>
      <c r="H106" s="206"/>
      <c r="K106" s="206"/>
    </row>
    <row r="107" spans="1:12">
      <c r="C107" s="287" t="s">
        <v>90</v>
      </c>
      <c r="D107" s="279" t="s">
        <v>99</v>
      </c>
      <c r="G107" s="206"/>
      <c r="H107" s="206"/>
      <c r="K107" s="206"/>
    </row>
    <row r="108" spans="1:12">
      <c r="C108" s="287" t="s">
        <v>90</v>
      </c>
      <c r="D108" s="279" t="s">
        <v>100</v>
      </c>
      <c r="G108" s="206"/>
      <c r="H108" s="206"/>
      <c r="K108" s="206"/>
    </row>
    <row r="109" spans="1:12">
      <c r="C109" s="287" t="s">
        <v>90</v>
      </c>
      <c r="D109" s="279" t="s">
        <v>101</v>
      </c>
      <c r="G109" s="206"/>
      <c r="H109" s="206"/>
      <c r="K109" s="206"/>
    </row>
    <row r="110" spans="1:12">
      <c r="A110" s="283"/>
      <c r="C110" s="287" t="s">
        <v>90</v>
      </c>
      <c r="D110" s="238" t="s">
        <v>102</v>
      </c>
      <c r="G110" s="206"/>
      <c r="H110" s="206"/>
      <c r="K110" s="206"/>
    </row>
    <row r="111" spans="1:12">
      <c r="A111" s="283"/>
      <c r="B111" s="283"/>
      <c r="C111" s="204"/>
      <c r="D111" s="204"/>
      <c r="E111" s="210"/>
      <c r="G111" s="206"/>
      <c r="H111" s="206"/>
      <c r="K111" s="206"/>
    </row>
    <row r="112" spans="1:12">
      <c r="A112" s="283"/>
      <c r="B112" s="283"/>
      <c r="C112" s="283"/>
      <c r="H112" s="203"/>
      <c r="I112" s="203"/>
      <c r="J112" s="203"/>
      <c r="K112" s="203"/>
      <c r="L112" s="203"/>
    </row>
    <row r="113" spans="1:12">
      <c r="A113" s="283"/>
      <c r="B113" s="283"/>
      <c r="C113" s="283"/>
      <c r="H113" s="203"/>
      <c r="I113" s="203"/>
      <c r="J113" s="203"/>
      <c r="K113" s="203"/>
      <c r="L113" s="203"/>
    </row>
    <row r="114" spans="1:12">
      <c r="A114" s="283"/>
      <c r="B114" s="283"/>
      <c r="C114" s="283"/>
      <c r="H114" s="203"/>
      <c r="I114" s="203"/>
      <c r="J114" s="203"/>
      <c r="K114" s="203"/>
      <c r="L114" s="203"/>
    </row>
    <row r="115" spans="1:12">
      <c r="A115" s="283"/>
      <c r="B115" s="283"/>
      <c r="C115" s="283"/>
      <c r="H115" s="203"/>
      <c r="I115" s="203"/>
      <c r="J115" s="203"/>
      <c r="K115" s="203"/>
      <c r="L115" s="203"/>
    </row>
    <row r="116" spans="1:12">
      <c r="A116" s="283"/>
      <c r="B116" s="283"/>
      <c r="C116" s="283"/>
      <c r="H116" s="203"/>
      <c r="I116" s="203"/>
      <c r="J116" s="203"/>
      <c r="K116" s="203"/>
      <c r="L116" s="203"/>
    </row>
    <row r="117" spans="1:12">
      <c r="A117" s="208"/>
      <c r="B117" s="283"/>
      <c r="C117" s="283"/>
      <c r="H117" s="206"/>
      <c r="I117" s="203"/>
      <c r="J117" s="203"/>
      <c r="K117" s="203"/>
      <c r="L117" s="203"/>
    </row>
    <row r="118" spans="1:12">
      <c r="A118" s="208"/>
      <c r="B118" s="208"/>
      <c r="C118" s="208"/>
      <c r="K118" s="206"/>
      <c r="L118" s="203"/>
    </row>
    <row r="119" spans="1:12">
      <c r="A119" s="208"/>
      <c r="B119" s="208"/>
      <c r="C119" s="208"/>
      <c r="H119" s="289"/>
      <c r="I119" s="203"/>
      <c r="J119" s="203"/>
      <c r="K119" s="203"/>
      <c r="L119" s="203"/>
    </row>
    <row r="120" spans="1:12">
      <c r="A120" s="283"/>
      <c r="B120" s="208"/>
      <c r="C120" s="208"/>
      <c r="H120" s="289"/>
      <c r="I120" s="203"/>
      <c r="J120" s="203"/>
      <c r="K120" s="203"/>
      <c r="L120" s="203"/>
    </row>
    <row r="121" spans="1:12">
      <c r="A121" s="283"/>
      <c r="B121" s="283"/>
      <c r="C121" s="283"/>
      <c r="I121" s="203"/>
      <c r="J121" s="203"/>
      <c r="K121" s="203"/>
    </row>
    <row r="122" spans="1:12">
      <c r="B122" s="283"/>
      <c r="C122" s="283"/>
      <c r="I122" s="203"/>
      <c r="J122" s="203"/>
      <c r="K122" s="203"/>
      <c r="L122" s="203"/>
    </row>
    <row r="123" spans="1:12">
      <c r="A123" s="283"/>
      <c r="I123" s="203"/>
      <c r="J123" s="203"/>
      <c r="K123" s="203"/>
      <c r="L123" s="203"/>
    </row>
    <row r="124" spans="1:12">
      <c r="A124" s="283"/>
      <c r="B124" s="283"/>
      <c r="C124" s="283"/>
      <c r="I124" s="203"/>
      <c r="J124" s="203"/>
      <c r="K124" s="203"/>
      <c r="L124" s="203"/>
    </row>
    <row r="125" spans="1:12">
      <c r="A125" s="283"/>
      <c r="B125" s="283"/>
      <c r="C125" s="283"/>
      <c r="I125" s="203"/>
      <c r="J125" s="203"/>
      <c r="K125" s="203"/>
      <c r="L125" s="203"/>
    </row>
    <row r="126" spans="1:12">
      <c r="A126" s="283"/>
      <c r="B126" s="283"/>
      <c r="C126" s="283"/>
      <c r="I126" s="211"/>
      <c r="J126" s="211"/>
      <c r="L126" s="203"/>
    </row>
    <row r="127" spans="1:12">
      <c r="A127" s="283"/>
      <c r="B127" s="283"/>
      <c r="C127" s="283"/>
      <c r="I127" s="211"/>
      <c r="J127" s="211"/>
      <c r="L127" s="203"/>
    </row>
    <row r="128" spans="1:12">
      <c r="A128" s="283"/>
      <c r="B128" s="283"/>
      <c r="C128" s="283"/>
      <c r="I128" s="211"/>
      <c r="J128" s="211"/>
      <c r="L128" s="203"/>
    </row>
    <row r="129" spans="1:12">
      <c r="A129" s="283"/>
      <c r="B129" s="283"/>
      <c r="C129" s="283"/>
      <c r="I129" s="211"/>
      <c r="J129" s="211"/>
      <c r="L129" s="211"/>
    </row>
    <row r="130" spans="1:12">
      <c r="A130" s="283"/>
      <c r="B130" s="283"/>
      <c r="C130" s="283"/>
      <c r="I130" s="236"/>
      <c r="J130" s="236"/>
      <c r="K130" s="203"/>
      <c r="L130" s="211"/>
    </row>
    <row r="131" spans="1:12">
      <c r="A131" s="278"/>
      <c r="B131" s="283"/>
      <c r="C131" s="283"/>
      <c r="H131" s="210"/>
      <c r="I131" s="236"/>
      <c r="J131" s="236"/>
      <c r="K131" s="203"/>
      <c r="L131" s="211"/>
    </row>
    <row r="132" spans="1:12">
      <c r="A132" s="278"/>
      <c r="B132" s="278"/>
      <c r="C132" s="278"/>
      <c r="H132" s="210"/>
      <c r="I132" s="236"/>
      <c r="J132" s="236"/>
      <c r="K132" s="203"/>
      <c r="L132" s="211"/>
    </row>
    <row r="133" spans="1:12">
      <c r="A133" s="290"/>
      <c r="B133" s="278"/>
      <c r="C133" s="278"/>
      <c r="H133" s="210"/>
      <c r="I133" s="236"/>
      <c r="J133" s="236"/>
      <c r="K133" s="203"/>
      <c r="L133" s="203"/>
    </row>
    <row r="134" spans="1:12">
      <c r="A134" s="283"/>
      <c r="B134" s="290"/>
      <c r="C134" s="290"/>
      <c r="H134" s="203"/>
      <c r="I134" s="236"/>
      <c r="J134" s="236"/>
      <c r="K134" s="203"/>
      <c r="L134" s="203"/>
    </row>
    <row r="135" spans="1:12">
      <c r="A135" s="283"/>
      <c r="B135" s="283"/>
      <c r="C135" s="283"/>
      <c r="H135" s="203"/>
      <c r="I135" s="236"/>
      <c r="J135" s="236"/>
      <c r="K135" s="203"/>
      <c r="L135" s="203"/>
    </row>
    <row r="136" spans="1:12">
      <c r="A136" s="283"/>
      <c r="B136" s="283"/>
      <c r="C136" s="283"/>
      <c r="H136" s="203"/>
      <c r="I136" s="236"/>
      <c r="J136" s="236"/>
      <c r="K136" s="203"/>
      <c r="L136" s="203"/>
    </row>
    <row r="137" spans="1:12">
      <c r="A137" s="283"/>
      <c r="B137" s="283"/>
      <c r="C137" s="283"/>
      <c r="H137" s="203"/>
      <c r="I137" s="236"/>
      <c r="J137" s="236"/>
      <c r="K137" s="203"/>
      <c r="L137" s="203"/>
    </row>
    <row r="138" spans="1:12">
      <c r="A138" s="283"/>
      <c r="B138" s="283"/>
      <c r="C138" s="283"/>
      <c r="H138" s="203"/>
      <c r="I138" s="236"/>
      <c r="J138" s="236"/>
      <c r="K138" s="203"/>
      <c r="L138" s="203"/>
    </row>
    <row r="139" spans="1:12">
      <c r="A139" s="283"/>
      <c r="B139" s="283"/>
      <c r="C139" s="283"/>
      <c r="H139" s="203"/>
      <c r="I139" s="236"/>
      <c r="J139" s="236"/>
      <c r="K139" s="203"/>
      <c r="L139" s="203"/>
    </row>
    <row r="140" spans="1:12">
      <c r="A140" s="283"/>
      <c r="B140" s="283"/>
      <c r="C140" s="283"/>
      <c r="H140" s="203"/>
      <c r="I140" s="237"/>
      <c r="J140" s="237"/>
      <c r="K140" s="203"/>
      <c r="L140" s="203"/>
    </row>
    <row r="141" spans="1:12">
      <c r="A141" s="283"/>
      <c r="B141" s="283"/>
      <c r="C141" s="283"/>
      <c r="H141" s="203"/>
      <c r="I141" s="208"/>
      <c r="J141" s="208"/>
      <c r="K141" s="213"/>
      <c r="L141" s="203"/>
    </row>
    <row r="142" spans="1:12">
      <c r="A142" s="283"/>
      <c r="B142" s="283"/>
      <c r="C142" s="283"/>
      <c r="H142" s="203"/>
      <c r="I142" s="204"/>
      <c r="J142" s="204"/>
      <c r="K142" s="210"/>
      <c r="L142" s="203"/>
    </row>
    <row r="143" spans="1:12">
      <c r="A143" s="283"/>
      <c r="B143" s="283"/>
      <c r="C143" s="283"/>
      <c r="H143" s="203"/>
      <c r="I143" s="291"/>
      <c r="J143" s="291"/>
      <c r="K143" s="210"/>
      <c r="L143" s="203"/>
    </row>
    <row r="144" spans="1:12">
      <c r="A144" s="283"/>
      <c r="B144" s="283"/>
      <c r="C144" s="283"/>
      <c r="H144" s="203"/>
      <c r="I144" s="291"/>
      <c r="J144" s="291"/>
      <c r="K144" s="210"/>
    </row>
    <row r="145" spans="1:12">
      <c r="A145" s="283"/>
      <c r="B145" s="283"/>
      <c r="C145" s="283"/>
      <c r="H145" s="203"/>
      <c r="I145" s="208"/>
      <c r="J145" s="208"/>
      <c r="K145" s="213"/>
    </row>
    <row r="146" spans="1:12">
      <c r="A146" s="283"/>
      <c r="B146" s="283"/>
      <c r="C146" s="283"/>
      <c r="H146" s="203"/>
      <c r="I146" s="208"/>
      <c r="J146" s="208"/>
      <c r="K146" s="213"/>
      <c r="L146" s="289"/>
    </row>
    <row r="147" spans="1:12">
      <c r="A147" s="283"/>
      <c r="B147" s="283"/>
      <c r="C147" s="283"/>
      <c r="H147" s="203"/>
      <c r="I147" s="194"/>
      <c r="J147" s="287"/>
      <c r="K147" s="194"/>
      <c r="L147" s="289"/>
    </row>
    <row r="148" spans="1:12">
      <c r="A148" s="283"/>
      <c r="B148" s="283"/>
      <c r="C148" s="283"/>
      <c r="H148" s="203"/>
      <c r="I148" s="194"/>
      <c r="J148" s="287"/>
      <c r="K148" s="194"/>
    </row>
    <row r="149" spans="1:12">
      <c r="A149" s="283"/>
      <c r="B149" s="283"/>
      <c r="C149" s="283"/>
      <c r="H149" s="203"/>
      <c r="I149" s="194"/>
      <c r="J149" s="287"/>
      <c r="K149" s="194"/>
    </row>
    <row r="150" spans="1:12">
      <c r="A150" s="283"/>
      <c r="B150" s="283"/>
      <c r="C150" s="283"/>
      <c r="H150" s="203"/>
      <c r="I150" s="194"/>
      <c r="J150" s="287"/>
      <c r="K150" s="194"/>
      <c r="L150" s="292"/>
    </row>
    <row r="151" spans="1:12">
      <c r="A151" s="283"/>
      <c r="B151" s="283"/>
      <c r="C151" s="283"/>
      <c r="H151" s="203"/>
      <c r="I151" s="194"/>
      <c r="J151" s="287"/>
      <c r="K151" s="194"/>
    </row>
    <row r="152" spans="1:12">
      <c r="A152" s="283"/>
      <c r="B152" s="283"/>
      <c r="C152" s="283"/>
      <c r="H152" s="203"/>
      <c r="I152" s="287"/>
      <c r="J152" s="287"/>
      <c r="K152" s="279"/>
    </row>
    <row r="153" spans="1:12">
      <c r="A153" s="283"/>
      <c r="B153" s="283"/>
      <c r="C153" s="283"/>
      <c r="H153" s="203"/>
      <c r="I153" s="208"/>
      <c r="J153" s="208"/>
      <c r="K153" s="213"/>
      <c r="L153" s="203"/>
    </row>
    <row r="154" spans="1:12">
      <c r="A154" s="283"/>
      <c r="B154" s="283"/>
      <c r="C154" s="283"/>
      <c r="H154" s="203"/>
      <c r="I154" s="208"/>
      <c r="J154" s="208"/>
      <c r="K154" s="213"/>
      <c r="L154" s="203"/>
    </row>
    <row r="155" spans="1:12">
      <c r="A155" s="283"/>
      <c r="B155" s="283"/>
      <c r="C155" s="283"/>
      <c r="H155" s="203"/>
      <c r="I155" s="209"/>
      <c r="J155" s="209"/>
      <c r="K155" s="210"/>
      <c r="L155" s="203"/>
    </row>
    <row r="156" spans="1:12">
      <c r="A156" s="283"/>
      <c r="B156" s="283"/>
      <c r="C156" s="283"/>
      <c r="I156" s="209"/>
      <c r="J156" s="209"/>
      <c r="K156" s="210"/>
    </row>
    <row r="157" spans="1:12">
      <c r="A157" s="283"/>
      <c r="B157" s="283"/>
      <c r="C157" s="283"/>
      <c r="I157" s="209"/>
      <c r="J157" s="209"/>
      <c r="K157" s="210"/>
    </row>
    <row r="158" spans="1:12">
      <c r="A158" s="283"/>
      <c r="B158" s="283"/>
      <c r="C158" s="283"/>
      <c r="I158" s="203"/>
      <c r="J158" s="203"/>
      <c r="K158" s="203"/>
      <c r="L158" s="211"/>
    </row>
    <row r="159" spans="1:12">
      <c r="A159" s="283"/>
      <c r="B159" s="283"/>
      <c r="C159" s="283"/>
      <c r="I159" s="203"/>
      <c r="J159" s="203"/>
      <c r="K159" s="203"/>
      <c r="L159" s="211"/>
    </row>
    <row r="160" spans="1:12">
      <c r="A160" s="283"/>
      <c r="B160" s="283"/>
      <c r="C160" s="283"/>
      <c r="I160" s="203"/>
      <c r="J160" s="203"/>
      <c r="K160" s="203"/>
      <c r="L160" s="211"/>
    </row>
    <row r="161" spans="1:12">
      <c r="A161" s="283"/>
      <c r="B161" s="283"/>
      <c r="C161" s="283"/>
      <c r="I161" s="203"/>
      <c r="J161" s="203"/>
      <c r="K161" s="203"/>
      <c r="L161" s="203"/>
    </row>
    <row r="162" spans="1:12">
      <c r="A162" s="283"/>
      <c r="B162" s="283"/>
      <c r="C162" s="283"/>
      <c r="I162" s="203"/>
      <c r="J162" s="203"/>
      <c r="K162" s="203"/>
      <c r="L162" s="203"/>
    </row>
    <row r="163" spans="1:12">
      <c r="A163" s="283"/>
      <c r="B163" s="283"/>
      <c r="C163" s="283"/>
      <c r="I163" s="203"/>
      <c r="J163" s="203"/>
      <c r="K163" s="203"/>
      <c r="L163" s="203"/>
    </row>
    <row r="164" spans="1:12">
      <c r="A164" s="283"/>
      <c r="B164" s="283"/>
      <c r="C164" s="283"/>
      <c r="I164" s="203"/>
      <c r="J164" s="203"/>
      <c r="K164" s="203"/>
      <c r="L164" s="203"/>
    </row>
    <row r="165" spans="1:12">
      <c r="A165" s="283"/>
      <c r="B165" s="283"/>
      <c r="C165" s="283"/>
      <c r="I165" s="203"/>
      <c r="J165" s="203"/>
      <c r="K165" s="203"/>
      <c r="L165" s="203"/>
    </row>
    <row r="166" spans="1:12">
      <c r="A166" s="283"/>
      <c r="B166" s="283"/>
      <c r="C166" s="283"/>
      <c r="I166" s="203"/>
      <c r="J166" s="203"/>
      <c r="K166" s="203"/>
      <c r="L166" s="203"/>
    </row>
    <row r="167" spans="1:12">
      <c r="A167" s="293"/>
      <c r="B167" s="283"/>
      <c r="C167" s="283"/>
      <c r="I167" s="203"/>
      <c r="J167" s="203"/>
      <c r="K167" s="203"/>
      <c r="L167" s="203"/>
    </row>
    <row r="168" spans="1:12">
      <c r="B168" s="293"/>
      <c r="C168" s="293"/>
      <c r="I168" s="203"/>
      <c r="J168" s="203"/>
      <c r="K168" s="203"/>
      <c r="L168" s="203"/>
    </row>
    <row r="169" spans="1:12">
      <c r="I169" s="203"/>
      <c r="J169" s="203"/>
      <c r="K169" s="203"/>
      <c r="L169" s="203"/>
    </row>
    <row r="170" spans="1:12">
      <c r="H170" s="214"/>
      <c r="I170" s="203"/>
      <c r="J170" s="203"/>
      <c r="K170" s="203"/>
      <c r="L170" s="203"/>
    </row>
    <row r="171" spans="1:12">
      <c r="I171" s="203"/>
      <c r="J171" s="203"/>
      <c r="K171" s="203"/>
      <c r="L171" s="203"/>
    </row>
    <row r="172" spans="1:12">
      <c r="I172" s="214"/>
      <c r="J172" s="214"/>
      <c r="K172" s="213"/>
      <c r="L172" s="203"/>
    </row>
    <row r="173" spans="1:12">
      <c r="I173" s="214"/>
      <c r="J173" s="214"/>
      <c r="K173" s="213"/>
      <c r="L173" s="203"/>
    </row>
    <row r="174" spans="1:12">
      <c r="I174" s="214"/>
      <c r="J174" s="214"/>
      <c r="K174" s="213"/>
      <c r="L174" s="203"/>
    </row>
    <row r="175" spans="1:12">
      <c r="K175" s="206"/>
    </row>
    <row r="176" spans="1:12">
      <c r="K176" s="206"/>
    </row>
    <row r="177" spans="11:11">
      <c r="K177" s="206"/>
    </row>
    <row r="178" spans="11:11">
      <c r="K178" s="206"/>
    </row>
    <row r="179" spans="11:11">
      <c r="K179" s="206"/>
    </row>
    <row r="180" spans="11:11">
      <c r="K180" s="206"/>
    </row>
    <row r="181" spans="11:11">
      <c r="K181" s="206"/>
    </row>
    <row r="182" spans="11:11">
      <c r="K182" s="206"/>
    </row>
    <row r="183" spans="11:11">
      <c r="K183" s="206"/>
    </row>
    <row r="184" spans="11:11">
      <c r="K184" s="206"/>
    </row>
  </sheetData>
  <phoneticPr fontId="3" type="noConversion"/>
  <printOptions horizontalCentered="1"/>
  <pageMargins left="0.25" right="0.25" top="1" bottom="0.5" header="0.5" footer="0.5"/>
  <pageSetup firstPageNumber="2" fitToHeight="2" orientation="landscape" useFirstPageNumber="1" horizontalDpi="4294967292" verticalDpi="4294967292" r:id="rId1"/>
  <headerFooter alignWithMargins="0">
    <oddFooter>&amp;R&amp;"MS Serif,Bold"&amp;8Page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7"/>
  <sheetViews>
    <sheetView zoomScale="184" zoomScaleNormal="184" workbookViewId="0">
      <pane xSplit="13800" activePane="topRight"/>
      <selection activeCell="B1" sqref="A1:XFD1048576"/>
      <selection pane="topRight" activeCell="C13" sqref="C13"/>
    </sheetView>
  </sheetViews>
  <sheetFormatPr defaultColWidth="9.5546875" defaultRowHeight="9"/>
  <cols>
    <col min="2" max="2" width="15.77734375" bestFit="1" customWidth="1"/>
    <col min="15" max="15" width="11.77734375" bestFit="1" customWidth="1"/>
    <col min="28" max="28" width="11.44140625" bestFit="1" customWidth="1"/>
  </cols>
  <sheetData>
    <row r="1" spans="2:31">
      <c r="C1" s="50" t="s">
        <v>115</v>
      </c>
      <c r="D1" s="21" t="s">
        <v>116</v>
      </c>
      <c r="E1" s="21" t="s">
        <v>117</v>
      </c>
      <c r="F1" s="21" t="s">
        <v>118</v>
      </c>
      <c r="G1" s="21" t="s">
        <v>119</v>
      </c>
      <c r="H1" s="21" t="s">
        <v>120</v>
      </c>
      <c r="I1" s="21" t="s">
        <v>121</v>
      </c>
      <c r="J1" s="21" t="s">
        <v>122</v>
      </c>
      <c r="K1" s="21" t="s">
        <v>123</v>
      </c>
      <c r="L1" s="21" t="s">
        <v>124</v>
      </c>
      <c r="M1" s="21" t="s">
        <v>125</v>
      </c>
      <c r="N1" s="21" t="s">
        <v>126</v>
      </c>
      <c r="O1" s="52" t="s">
        <v>127</v>
      </c>
      <c r="P1" s="21" t="s">
        <v>128</v>
      </c>
      <c r="Q1" s="21" t="s">
        <v>129</v>
      </c>
      <c r="R1" s="21" t="s">
        <v>130</v>
      </c>
      <c r="S1" s="21" t="s">
        <v>131</v>
      </c>
      <c r="T1" s="21" t="s">
        <v>132</v>
      </c>
      <c r="U1" s="21" t="s">
        <v>133</v>
      </c>
      <c r="V1" s="21" t="s">
        <v>134</v>
      </c>
      <c r="W1" s="21" t="s">
        <v>135</v>
      </c>
      <c r="X1" s="21" t="s">
        <v>136</v>
      </c>
      <c r="Y1" s="21" t="s">
        <v>137</v>
      </c>
      <c r="Z1" s="21" t="s">
        <v>138</v>
      </c>
      <c r="AA1" s="21" t="s">
        <v>139</v>
      </c>
      <c r="AB1" s="52" t="s">
        <v>127</v>
      </c>
      <c r="AC1" s="52" t="s">
        <v>127</v>
      </c>
      <c r="AD1" s="52" t="s">
        <v>127</v>
      </c>
      <c r="AE1" s="52" t="s">
        <v>127</v>
      </c>
    </row>
    <row r="2" spans="2:31">
      <c r="C2" s="51">
        <v>43466</v>
      </c>
      <c r="D2" s="51">
        <v>43497</v>
      </c>
      <c r="E2" s="51">
        <v>43525</v>
      </c>
      <c r="F2" s="51">
        <v>43556</v>
      </c>
      <c r="G2" s="51">
        <v>43586</v>
      </c>
      <c r="H2" s="51">
        <v>43617</v>
      </c>
      <c r="I2" s="51">
        <v>43647</v>
      </c>
      <c r="J2" s="51">
        <v>43678</v>
      </c>
      <c r="K2" s="51">
        <v>43709</v>
      </c>
      <c r="L2" s="51">
        <v>43739</v>
      </c>
      <c r="M2" s="51">
        <v>43770</v>
      </c>
      <c r="N2" s="51">
        <v>43800</v>
      </c>
      <c r="O2" s="51">
        <v>43831</v>
      </c>
      <c r="P2" s="51">
        <v>43862</v>
      </c>
      <c r="Q2" s="51">
        <v>43891</v>
      </c>
      <c r="R2" s="51">
        <v>43922</v>
      </c>
      <c r="S2" s="51">
        <v>43952</v>
      </c>
      <c r="T2" s="51">
        <v>43983</v>
      </c>
      <c r="U2" s="51">
        <v>44013</v>
      </c>
      <c r="V2" s="51">
        <v>44044</v>
      </c>
      <c r="W2" s="51">
        <v>44075</v>
      </c>
      <c r="X2" s="51">
        <v>44105</v>
      </c>
      <c r="Y2" s="51">
        <v>44136</v>
      </c>
      <c r="Z2" s="51">
        <v>44166</v>
      </c>
      <c r="AA2" s="51">
        <v>44197</v>
      </c>
      <c r="AB2" s="51">
        <v>44228</v>
      </c>
      <c r="AC2" s="51">
        <v>44256</v>
      </c>
      <c r="AD2" s="51">
        <v>44287</v>
      </c>
      <c r="AE2" s="51">
        <v>44317</v>
      </c>
    </row>
    <row r="3" spans="2:31" hidden="1">
      <c r="B3" s="46" t="s">
        <v>305</v>
      </c>
      <c r="O3" s="49">
        <f>SUM(C3:N3)</f>
        <v>0</v>
      </c>
      <c r="AB3" s="49">
        <f>SUM(P3:AA3)</f>
        <v>0</v>
      </c>
      <c r="AC3" s="49"/>
      <c r="AD3" s="49"/>
      <c r="AE3" s="49"/>
    </row>
    <row r="4" spans="2:31">
      <c r="B4" s="46" t="s">
        <v>311</v>
      </c>
      <c r="C4" s="54">
        <v>0</v>
      </c>
      <c r="D4" s="54">
        <v>0</v>
      </c>
      <c r="E4" s="54">
        <v>0</v>
      </c>
      <c r="F4" s="54">
        <v>0</v>
      </c>
      <c r="G4" s="54">
        <v>0</v>
      </c>
      <c r="H4" s="54">
        <v>0</v>
      </c>
      <c r="I4" s="54">
        <v>0</v>
      </c>
      <c r="J4" s="54">
        <v>0</v>
      </c>
      <c r="K4" s="54">
        <v>0</v>
      </c>
      <c r="L4" s="54">
        <v>0</v>
      </c>
      <c r="M4" s="54">
        <v>0</v>
      </c>
      <c r="N4" s="54">
        <v>0</v>
      </c>
      <c r="O4" s="49">
        <f>SUM(C4:N4)</f>
        <v>0</v>
      </c>
      <c r="P4" s="54">
        <v>0</v>
      </c>
      <c r="Q4" s="54">
        <v>0</v>
      </c>
      <c r="R4" s="54">
        <v>0</v>
      </c>
      <c r="S4" s="54">
        <v>0</v>
      </c>
      <c r="T4" s="54">
        <v>0</v>
      </c>
      <c r="U4" s="54">
        <v>0</v>
      </c>
      <c r="V4" s="54">
        <v>0</v>
      </c>
      <c r="W4" s="54">
        <v>0</v>
      </c>
      <c r="X4" s="54">
        <v>0</v>
      </c>
      <c r="Y4" s="54">
        <v>0</v>
      </c>
      <c r="Z4" s="54">
        <v>0</v>
      </c>
      <c r="AA4" s="54">
        <v>0</v>
      </c>
      <c r="AB4" s="49">
        <f>SUM(P4:AA4)</f>
        <v>0</v>
      </c>
      <c r="AC4" s="56">
        <v>0</v>
      </c>
      <c r="AD4" s="56">
        <v>0</v>
      </c>
      <c r="AE4" s="56">
        <v>0</v>
      </c>
    </row>
    <row r="5" spans="2:31" hidden="1">
      <c r="B5" s="46" t="s">
        <v>306</v>
      </c>
      <c r="C5" s="54"/>
      <c r="D5" s="54"/>
      <c r="E5" s="54"/>
      <c r="F5" s="54"/>
      <c r="G5" s="54"/>
      <c r="H5" s="54"/>
      <c r="I5" s="54"/>
      <c r="J5" s="54"/>
      <c r="K5" s="54"/>
      <c r="L5" s="54"/>
      <c r="M5" s="54"/>
      <c r="N5" s="54"/>
      <c r="O5" s="49">
        <f>SUM(C5:N5)</f>
        <v>0</v>
      </c>
      <c r="P5" s="54"/>
      <c r="Q5" s="54"/>
      <c r="R5" s="54"/>
      <c r="S5" s="54"/>
      <c r="T5" s="54"/>
      <c r="U5" s="54"/>
      <c r="V5" s="54"/>
      <c r="W5" s="54"/>
      <c r="X5" s="54"/>
      <c r="Y5" s="54"/>
      <c r="Z5" s="54"/>
      <c r="AA5" s="54"/>
      <c r="AB5" s="49">
        <f>SUM(P5:AA5)</f>
        <v>0</v>
      </c>
      <c r="AC5" s="56">
        <v>0</v>
      </c>
      <c r="AD5" s="56">
        <v>0</v>
      </c>
      <c r="AE5" s="56">
        <v>0</v>
      </c>
    </row>
    <row r="6" spans="2:31">
      <c r="B6" s="48" t="s">
        <v>312</v>
      </c>
      <c r="C6" s="55">
        <v>0</v>
      </c>
      <c r="D6" s="55">
        <v>0</v>
      </c>
      <c r="E6" s="55">
        <v>0</v>
      </c>
      <c r="F6" s="55">
        <v>0</v>
      </c>
      <c r="G6" s="55">
        <v>0</v>
      </c>
      <c r="H6" s="55">
        <v>0</v>
      </c>
      <c r="I6" s="55">
        <v>0</v>
      </c>
      <c r="J6" s="55">
        <v>0</v>
      </c>
      <c r="K6" s="55">
        <v>0</v>
      </c>
      <c r="L6" s="55">
        <v>0</v>
      </c>
      <c r="M6" s="55">
        <v>0</v>
      </c>
      <c r="N6" s="55">
        <v>0</v>
      </c>
      <c r="O6" s="53">
        <f>SUM(C6:N6)</f>
        <v>0</v>
      </c>
      <c r="P6" s="55">
        <v>0</v>
      </c>
      <c r="Q6" s="55">
        <v>0</v>
      </c>
      <c r="R6" s="55">
        <v>0</v>
      </c>
      <c r="S6" s="55">
        <v>0</v>
      </c>
      <c r="T6" s="55">
        <v>0</v>
      </c>
      <c r="U6" s="55">
        <v>0</v>
      </c>
      <c r="V6" s="55">
        <v>0</v>
      </c>
      <c r="W6" s="55">
        <v>0</v>
      </c>
      <c r="X6" s="55">
        <v>0</v>
      </c>
      <c r="Y6" s="55">
        <v>0</v>
      </c>
      <c r="Z6" s="55">
        <v>0</v>
      </c>
      <c r="AA6" s="55">
        <v>0</v>
      </c>
      <c r="AB6" s="53">
        <f>SUM(P6:AA6)</f>
        <v>0</v>
      </c>
      <c r="AC6" s="57">
        <v>0</v>
      </c>
      <c r="AD6" s="57">
        <v>0</v>
      </c>
      <c r="AE6" s="57">
        <v>0</v>
      </c>
    </row>
    <row r="7" spans="2:31">
      <c r="C7">
        <f t="shared" ref="C7:M7" si="0">SUM(C3:C6)</f>
        <v>0</v>
      </c>
      <c r="D7">
        <f t="shared" si="0"/>
        <v>0</v>
      </c>
      <c r="E7">
        <f t="shared" si="0"/>
        <v>0</v>
      </c>
      <c r="F7">
        <f t="shared" si="0"/>
        <v>0</v>
      </c>
      <c r="G7">
        <f t="shared" si="0"/>
        <v>0</v>
      </c>
      <c r="H7">
        <f t="shared" si="0"/>
        <v>0</v>
      </c>
      <c r="I7">
        <f t="shared" si="0"/>
        <v>0</v>
      </c>
      <c r="J7">
        <f t="shared" si="0"/>
        <v>0</v>
      </c>
      <c r="K7">
        <f t="shared" si="0"/>
        <v>0</v>
      </c>
      <c r="L7">
        <f t="shared" si="0"/>
        <v>0</v>
      </c>
      <c r="M7">
        <f t="shared" si="0"/>
        <v>0</v>
      </c>
      <c r="N7">
        <f t="shared" ref="N7:AE7" si="1">SUM(N3:N6)</f>
        <v>0</v>
      </c>
      <c r="O7" s="49">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s="49">
        <f t="shared" si="1"/>
        <v>0</v>
      </c>
      <c r="AC7" s="49">
        <f t="shared" si="1"/>
        <v>0</v>
      </c>
      <c r="AD7" s="49">
        <f t="shared" si="1"/>
        <v>0</v>
      </c>
      <c r="AE7" s="49">
        <f t="shared" si="1"/>
        <v>0</v>
      </c>
    </row>
  </sheetData>
  <phoneticPr fontId="3" type="noConversion"/>
  <pageMargins left="0.75" right="0.75" top="1" bottom="1" header="0.5" footer="0.5"/>
  <pageSetup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AH37"/>
  <sheetViews>
    <sheetView showGridLines="0" zoomScaleNormal="100" workbookViewId="0">
      <selection activeCell="AC5" sqref="AC5"/>
    </sheetView>
  </sheetViews>
  <sheetFormatPr defaultColWidth="9.5546875" defaultRowHeight="12.75" outlineLevelRow="1"/>
  <cols>
    <col min="1" max="3" width="9.5546875" style="331"/>
    <col min="4" max="4" width="20.21875" style="331" customWidth="1"/>
    <col min="5" max="5" width="18.21875" style="331" customWidth="1"/>
    <col min="6" max="6" width="4" style="331" customWidth="1"/>
    <col min="7" max="7" width="33" style="331" customWidth="1"/>
    <col min="8" max="8" width="31.44140625" style="331" customWidth="1"/>
    <col min="9" max="10" width="30.21875" style="331" customWidth="1"/>
    <col min="11" max="11" width="3.5546875" style="331" customWidth="1"/>
    <col min="12" max="12" width="3.21875" style="331" customWidth="1"/>
    <col min="13" max="13" width="16" style="331" customWidth="1"/>
    <col min="14" max="15" width="9.5546875" style="331"/>
    <col min="16" max="16" width="19.44140625" style="331" bestFit="1" customWidth="1"/>
    <col min="17" max="17" width="15.44140625" style="331" customWidth="1"/>
    <col min="18" max="18" width="17.44140625" style="331" bestFit="1" customWidth="1"/>
    <col min="19" max="19" width="12.77734375" style="331" bestFit="1" customWidth="1"/>
    <col min="20" max="20" width="9.5546875" style="331"/>
    <col min="21" max="21" width="3.5546875" style="331" customWidth="1"/>
    <col min="22" max="22" width="9.5546875" style="331"/>
    <col min="23" max="23" width="15" style="331" customWidth="1"/>
    <col min="24" max="24" width="9.5546875" style="331"/>
    <col min="25" max="25" width="30.77734375" style="331" customWidth="1"/>
    <col min="26" max="27" width="25" style="331" customWidth="1"/>
    <col min="28" max="28" width="22.21875" style="331" bestFit="1" customWidth="1"/>
    <col min="29" max="29" width="21.5546875" style="331" customWidth="1"/>
    <col min="30" max="30" width="14.5546875" style="331" bestFit="1" customWidth="1"/>
    <col min="31" max="31" width="19.5546875" style="331" bestFit="1" customWidth="1"/>
    <col min="32" max="32" width="16.5546875" style="331" customWidth="1"/>
    <col min="33" max="16384" width="9.5546875" style="331"/>
  </cols>
  <sheetData>
    <row r="2" spans="2:34" ht="17.649999999999999">
      <c r="B2" s="335" t="s">
        <v>317</v>
      </c>
    </row>
    <row r="3" spans="2:34" ht="17.649999999999999">
      <c r="B3" s="336" t="s">
        <v>331</v>
      </c>
    </row>
    <row r="5" spans="2:34" ht="13.15">
      <c r="B5" s="670" t="s">
        <v>339</v>
      </c>
      <c r="C5" s="670"/>
      <c r="D5" s="670"/>
      <c r="E5" s="670"/>
      <c r="F5" s="670"/>
      <c r="G5" s="671" t="str">
        <f>G7</f>
        <v>India</v>
      </c>
      <c r="H5" s="671" t="s">
        <v>338</v>
      </c>
      <c r="I5" s="671" t="str">
        <f t="shared" ref="I5:J5" si="0">I7</f>
        <v>Mexico</v>
      </c>
      <c r="J5" s="671" t="str">
        <f t="shared" si="0"/>
        <v>Mexico</v>
      </c>
      <c r="K5" s="671"/>
      <c r="L5" s="671"/>
      <c r="M5" s="671"/>
      <c r="N5" s="671"/>
      <c r="O5" s="671"/>
      <c r="P5" s="671"/>
      <c r="Q5" s="671"/>
      <c r="R5" s="671"/>
      <c r="S5" s="671"/>
      <c r="T5" s="671"/>
      <c r="U5" s="671"/>
    </row>
    <row r="6" spans="2:34">
      <c r="B6" s="331" t="s">
        <v>337</v>
      </c>
      <c r="G6" s="343" t="s">
        <v>386</v>
      </c>
      <c r="H6" s="343" t="s">
        <v>340</v>
      </c>
      <c r="I6" s="343" t="s">
        <v>340</v>
      </c>
      <c r="J6" s="343" t="s">
        <v>340</v>
      </c>
      <c r="AB6" s="380"/>
    </row>
    <row r="7" spans="2:34">
      <c r="B7" s="331" t="s">
        <v>341</v>
      </c>
      <c r="G7" s="343" t="s">
        <v>536</v>
      </c>
      <c r="H7" s="343" t="s">
        <v>338</v>
      </c>
      <c r="I7" s="343" t="s">
        <v>338</v>
      </c>
      <c r="J7" s="343" t="s">
        <v>338</v>
      </c>
      <c r="AB7" s="380"/>
    </row>
    <row r="8" spans="2:34">
      <c r="B8" s="331" t="s">
        <v>387</v>
      </c>
      <c r="G8" s="343" t="s">
        <v>388</v>
      </c>
      <c r="H8" s="343" t="s">
        <v>389</v>
      </c>
      <c r="I8" s="343" t="s">
        <v>390</v>
      </c>
      <c r="J8" s="343" t="s">
        <v>391</v>
      </c>
      <c r="AB8" s="380"/>
    </row>
    <row r="9" spans="2:34">
      <c r="B9" s="331" t="s">
        <v>403</v>
      </c>
      <c r="G9" s="343" t="s">
        <v>537</v>
      </c>
      <c r="H9" s="343" t="s">
        <v>402</v>
      </c>
      <c r="I9" s="343" t="s">
        <v>402</v>
      </c>
      <c r="J9" s="343" t="s">
        <v>402</v>
      </c>
    </row>
    <row r="10" spans="2:34" ht="13.15">
      <c r="B10" s="349" t="s">
        <v>529</v>
      </c>
      <c r="C10" s="350"/>
      <c r="D10" s="350"/>
      <c r="E10" s="350"/>
      <c r="F10" s="350"/>
      <c r="G10" s="351">
        <f>G11</f>
        <v>5000</v>
      </c>
      <c r="H10" s="351">
        <f>H11</f>
        <v>160000</v>
      </c>
      <c r="I10" s="351">
        <f>I11</f>
        <v>320000</v>
      </c>
      <c r="J10" s="351">
        <f>J11</f>
        <v>480000</v>
      </c>
      <c r="K10" s="350"/>
      <c r="L10" s="350"/>
      <c r="M10" s="350"/>
      <c r="N10" s="350"/>
      <c r="O10" s="350"/>
      <c r="P10" s="350"/>
      <c r="Q10" s="350"/>
      <c r="R10" s="350"/>
      <c r="S10" s="350"/>
      <c r="T10" s="350"/>
      <c r="U10" s="352"/>
    </row>
    <row r="11" spans="2:34" hidden="1" outlineLevel="1">
      <c r="B11" s="331" t="s">
        <v>369</v>
      </c>
      <c r="G11" s="392">
        <v>5000</v>
      </c>
      <c r="H11" s="392">
        <f>H13</f>
        <v>160000</v>
      </c>
      <c r="I11" s="392">
        <f t="shared" ref="I11:J11" si="1">I13</f>
        <v>320000</v>
      </c>
      <c r="J11" s="392">
        <f t="shared" si="1"/>
        <v>480000</v>
      </c>
    </row>
    <row r="12" spans="2:34" hidden="1" outlineLevel="1">
      <c r="B12" s="331" t="s">
        <v>370</v>
      </c>
      <c r="G12" s="348"/>
      <c r="H12" s="348">
        <v>1000</v>
      </c>
      <c r="I12" s="348">
        <v>1000</v>
      </c>
      <c r="J12" s="348">
        <v>1000</v>
      </c>
    </row>
    <row r="13" spans="2:34" hidden="1" outlineLevel="1">
      <c r="B13" s="331" t="s">
        <v>393</v>
      </c>
      <c r="G13" s="393"/>
      <c r="H13" s="393">
        <f>8*H12*20</f>
        <v>160000</v>
      </c>
      <c r="I13" s="393">
        <f>16*I12*20</f>
        <v>320000</v>
      </c>
      <c r="J13" s="393">
        <f>24*J12*20</f>
        <v>480000</v>
      </c>
    </row>
    <row r="14" spans="2:34" hidden="1" outlineLevel="1">
      <c r="B14" s="331" t="s">
        <v>371</v>
      </c>
      <c r="G14" s="393"/>
      <c r="H14" s="393">
        <f>H13*12</f>
        <v>1920000</v>
      </c>
      <c r="I14" s="393">
        <f>I13*12</f>
        <v>3840000</v>
      </c>
      <c r="J14" s="393">
        <f>J13*12</f>
        <v>5760000</v>
      </c>
      <c r="AH14" s="339"/>
    </row>
    <row r="15" spans="2:34" hidden="1" outlineLevel="1">
      <c r="B15" s="331" t="s">
        <v>372</v>
      </c>
      <c r="G15" s="341">
        <v>0</v>
      </c>
      <c r="H15" s="341">
        <v>-0.1</v>
      </c>
      <c r="I15" s="341">
        <v>-0.15</v>
      </c>
      <c r="J15" s="341">
        <v>-0.25</v>
      </c>
      <c r="Z15" s="380"/>
      <c r="AH15" s="345"/>
    </row>
    <row r="16" spans="2:34" hidden="1" outlineLevel="1">
      <c r="B16" s="332" t="s">
        <v>373</v>
      </c>
      <c r="C16" s="332"/>
      <c r="D16" s="332"/>
      <c r="E16" s="340" t="s">
        <v>335</v>
      </c>
      <c r="F16" s="340" t="s">
        <v>344</v>
      </c>
      <c r="G16" s="347">
        <v>0.15</v>
      </c>
      <c r="H16" s="347">
        <v>0.15</v>
      </c>
      <c r="I16" s="347">
        <v>0.15</v>
      </c>
      <c r="J16" s="347">
        <v>0.15</v>
      </c>
      <c r="K16" s="332"/>
      <c r="L16" s="332"/>
      <c r="M16" s="332"/>
      <c r="N16" s="332"/>
      <c r="O16" s="332"/>
      <c r="P16" s="332"/>
      <c r="Q16" s="332"/>
      <c r="R16" s="332"/>
      <c r="S16" s="332"/>
      <c r="T16" s="332"/>
      <c r="U16" s="332"/>
    </row>
    <row r="17" spans="2:32" hidden="1" outlineLevel="1">
      <c r="B17" s="331" t="s">
        <v>394</v>
      </c>
      <c r="E17" s="331" t="s">
        <v>368</v>
      </c>
      <c r="F17" s="331" t="s">
        <v>332</v>
      </c>
      <c r="G17" s="393">
        <f>G11*G29</f>
        <v>261.9353395061728</v>
      </c>
      <c r="H17" s="393">
        <f>H11*H29</f>
        <v>7008.5155555555557</v>
      </c>
      <c r="I17" s="393">
        <f>I11*I29</f>
        <v>11451.887407407406</v>
      </c>
      <c r="J17" s="393">
        <f>J11*J29</f>
        <v>15089.807407407407</v>
      </c>
    </row>
    <row r="18" spans="2:32" ht="13.15" collapsed="1">
      <c r="B18" s="331" t="s">
        <v>374</v>
      </c>
      <c r="E18" s="339" t="s">
        <v>335</v>
      </c>
      <c r="F18" s="339" t="s">
        <v>332</v>
      </c>
      <c r="G18" s="344">
        <f>G32</f>
        <v>0.47363418724279832</v>
      </c>
      <c r="H18" s="344">
        <f t="shared" ref="H18:J18" si="2">H32</f>
        <v>0.40282470370370371</v>
      </c>
      <c r="I18" s="344">
        <f t="shared" si="2"/>
        <v>0.33886813580246911</v>
      </c>
      <c r="J18" s="344">
        <f t="shared" si="2"/>
        <v>0.30051775720164609</v>
      </c>
      <c r="Y18" s="673" t="s">
        <v>528</v>
      </c>
      <c r="Z18" s="673"/>
      <c r="AA18" s="673"/>
      <c r="AB18" s="673"/>
      <c r="AC18" s="673"/>
      <c r="AD18" s="673"/>
      <c r="AE18" s="673"/>
      <c r="AF18" s="673"/>
    </row>
    <row r="19" spans="2:32">
      <c r="B19" s="332" t="s">
        <v>375</v>
      </c>
      <c r="C19" s="332"/>
      <c r="D19" s="332"/>
      <c r="E19" s="340" t="s">
        <v>335</v>
      </c>
      <c r="F19" s="340" t="s">
        <v>332</v>
      </c>
      <c r="G19" s="346">
        <f>G37</f>
        <v>0.1</v>
      </c>
      <c r="H19" s="346">
        <f t="shared" ref="H19:J19" si="3">H37</f>
        <v>0.06</v>
      </c>
      <c r="I19" s="346">
        <f t="shared" si="3"/>
        <v>5.5E-2</v>
      </c>
      <c r="J19" s="346">
        <f t="shared" si="3"/>
        <v>5.5E-2</v>
      </c>
      <c r="K19" s="332"/>
      <c r="L19" s="332"/>
      <c r="M19" s="332"/>
      <c r="N19" s="332"/>
      <c r="O19" s="332"/>
      <c r="P19" s="332"/>
      <c r="Q19" s="332"/>
      <c r="R19" s="332"/>
      <c r="S19" s="332"/>
      <c r="T19" s="332"/>
      <c r="U19" s="332"/>
    </row>
    <row r="20" spans="2:32" ht="13.15">
      <c r="B20" s="349" t="s">
        <v>342</v>
      </c>
      <c r="C20" s="350"/>
      <c r="D20" s="350"/>
      <c r="E20" s="353" t="s">
        <v>335</v>
      </c>
      <c r="F20" s="353" t="s">
        <v>332</v>
      </c>
      <c r="G20" s="354">
        <f>SUM(G18:G19)</f>
        <v>0.57363418724279835</v>
      </c>
      <c r="H20" s="354">
        <f t="shared" ref="H20:J20" si="4">SUM(H18:H19)</f>
        <v>0.46282470370370371</v>
      </c>
      <c r="I20" s="354">
        <f t="shared" si="4"/>
        <v>0.3938681358024691</v>
      </c>
      <c r="J20" s="354">
        <f t="shared" si="4"/>
        <v>0.35551775720164608</v>
      </c>
      <c r="K20" s="350"/>
      <c r="L20" s="350"/>
      <c r="M20" s="350"/>
      <c r="N20" s="350"/>
      <c r="O20" s="350"/>
      <c r="P20" s="350"/>
      <c r="Q20" s="350"/>
      <c r="R20" s="350"/>
      <c r="S20" s="350"/>
      <c r="T20" s="350"/>
      <c r="U20" s="352"/>
      <c r="Y20" s="670" t="s">
        <v>523</v>
      </c>
      <c r="Z20" s="670" t="s">
        <v>366</v>
      </c>
      <c r="AA20" s="670" t="s">
        <v>525</v>
      </c>
      <c r="AB20" s="670"/>
      <c r="AC20" s="670" t="s">
        <v>392</v>
      </c>
      <c r="AD20" s="670"/>
      <c r="AE20" s="670"/>
      <c r="AF20" s="670"/>
    </row>
    <row r="21" spans="2:32">
      <c r="Y21" s="331">
        <v>20000</v>
      </c>
      <c r="Z21" s="331">
        <v>256</v>
      </c>
      <c r="AA21" s="634">
        <f>Z21/Y21</f>
        <v>1.2800000000000001E-2</v>
      </c>
    </row>
    <row r="22" spans="2:32" ht="13.15" outlineLevel="1">
      <c r="B22" s="670" t="s">
        <v>324</v>
      </c>
      <c r="C22" s="672"/>
      <c r="D22" s="672"/>
      <c r="E22" s="672"/>
      <c r="F22" s="672"/>
      <c r="G22" s="671" t="str">
        <f>G7</f>
        <v>India</v>
      </c>
      <c r="H22" s="671" t="str">
        <f>H7</f>
        <v>Mexico</v>
      </c>
      <c r="I22" s="671" t="str">
        <f>I7</f>
        <v>Mexico</v>
      </c>
      <c r="J22" s="671" t="str">
        <f>J7</f>
        <v>Mexico</v>
      </c>
      <c r="K22" s="672"/>
      <c r="L22" s="672"/>
      <c r="M22" s="672"/>
      <c r="N22" s="672"/>
      <c r="O22" s="672"/>
      <c r="P22" s="672"/>
      <c r="Q22" s="672"/>
      <c r="R22" s="672"/>
      <c r="S22" s="672"/>
      <c r="T22" s="672"/>
      <c r="U22" s="672"/>
    </row>
    <row r="23" spans="2:32" s="339" customFormat="1" ht="13.15" outlineLevel="1">
      <c r="B23" s="339" t="s">
        <v>325</v>
      </c>
      <c r="E23" s="339" t="s">
        <v>335</v>
      </c>
      <c r="F23" s="339" t="s">
        <v>332</v>
      </c>
      <c r="G23" s="380">
        <f>AA21</f>
        <v>1.2800000000000001E-2</v>
      </c>
      <c r="H23" s="380">
        <f>G23*(1+H$15)</f>
        <v>1.1520000000000001E-2</v>
      </c>
      <c r="I23" s="380">
        <f>G23*(1+I$15)</f>
        <v>1.0880000000000001E-2</v>
      </c>
      <c r="J23" s="380">
        <f>G23*(1+J$15)</f>
        <v>9.6000000000000009E-3</v>
      </c>
      <c r="M23" s="339" t="s">
        <v>395</v>
      </c>
      <c r="Y23" s="670" t="s">
        <v>526</v>
      </c>
      <c r="Z23" s="670" t="s">
        <v>520</v>
      </c>
      <c r="AA23" s="670" t="s">
        <v>521</v>
      </c>
      <c r="AB23" s="670"/>
      <c r="AC23" s="670" t="s">
        <v>522</v>
      </c>
      <c r="AD23" s="670"/>
      <c r="AE23" s="670" t="s">
        <v>527</v>
      </c>
      <c r="AF23" s="670"/>
    </row>
    <row r="24" spans="2:32" s="339" customFormat="1" outlineLevel="1">
      <c r="B24" s="339" t="s">
        <v>326</v>
      </c>
      <c r="E24" s="339" t="s">
        <v>335</v>
      </c>
      <c r="F24" s="339" t="s">
        <v>332</v>
      </c>
      <c r="G24" s="380">
        <f>AC24/Z24</f>
        <v>8.0000000000000004E-4</v>
      </c>
      <c r="H24" s="380">
        <f>G24*(1+H$15)</f>
        <v>7.2000000000000005E-4</v>
      </c>
      <c r="I24" s="380">
        <f t="shared" ref="I24:I26" si="5">G24*(1+I$15)</f>
        <v>6.8000000000000005E-4</v>
      </c>
      <c r="J24" s="380">
        <f>G24*(1+J$15)</f>
        <v>6.0000000000000006E-4</v>
      </c>
      <c r="M24" s="339" t="s">
        <v>406</v>
      </c>
      <c r="Y24" s="339" t="s">
        <v>519</v>
      </c>
      <c r="Z24" s="339">
        <v>100000</v>
      </c>
      <c r="AA24" s="400">
        <f>Z24*(200*10^-6)</f>
        <v>20</v>
      </c>
      <c r="AC24" s="399">
        <f>AE24/500*AA24</f>
        <v>80</v>
      </c>
      <c r="AE24" s="339">
        <v>2000</v>
      </c>
      <c r="AF24" s="339" t="s">
        <v>363</v>
      </c>
    </row>
    <row r="25" spans="2:32" s="339" customFormat="1" outlineLevel="1">
      <c r="B25" s="339" t="s">
        <v>362</v>
      </c>
      <c r="E25" s="339" t="s">
        <v>335</v>
      </c>
      <c r="F25" s="339" t="s">
        <v>332</v>
      </c>
      <c r="G25" s="637">
        <v>0.01</v>
      </c>
      <c r="H25" s="380">
        <f t="shared" ref="H25" si="6">G25*(1+H$15)</f>
        <v>9.0000000000000011E-3</v>
      </c>
      <c r="I25" s="380">
        <f t="shared" si="5"/>
        <v>8.5000000000000006E-3</v>
      </c>
      <c r="J25" s="380">
        <f t="shared" ref="J25" si="7">G25*(1+J$15)</f>
        <v>7.4999999999999997E-3</v>
      </c>
      <c r="M25" s="339" t="s">
        <v>407</v>
      </c>
    </row>
    <row r="26" spans="2:32" s="339" customFormat="1" ht="13.15" outlineLevel="1">
      <c r="B26" s="339" t="s">
        <v>361</v>
      </c>
      <c r="E26" s="339" t="s">
        <v>335</v>
      </c>
      <c r="F26" s="339" t="s">
        <v>332</v>
      </c>
      <c r="G26" s="637">
        <v>2E-3</v>
      </c>
      <c r="H26" s="380">
        <f>G26*(1+H$15)</f>
        <v>1.8000000000000002E-3</v>
      </c>
      <c r="I26" s="380">
        <f t="shared" si="5"/>
        <v>1.6999999999999999E-3</v>
      </c>
      <c r="J26" s="380">
        <f>G26*(1+J$15)</f>
        <v>1.5E-3</v>
      </c>
      <c r="M26" s="339" t="s">
        <v>407</v>
      </c>
      <c r="Y26" s="670" t="s">
        <v>396</v>
      </c>
      <c r="Z26" s="670" t="s">
        <v>364</v>
      </c>
      <c r="AA26" s="670" t="s">
        <v>397</v>
      </c>
      <c r="AB26" s="670" t="s">
        <v>518</v>
      </c>
      <c r="AC26" s="670" t="s">
        <v>524</v>
      </c>
      <c r="AD26" s="670" t="s">
        <v>365</v>
      </c>
      <c r="AE26" s="670" t="s">
        <v>398</v>
      </c>
      <c r="AF26" s="670" t="s">
        <v>387</v>
      </c>
    </row>
    <row r="27" spans="2:32" s="339" customFormat="1" outlineLevel="1">
      <c r="B27" s="345" t="s">
        <v>334</v>
      </c>
      <c r="C27" s="345"/>
      <c r="D27" s="345"/>
      <c r="E27" s="345" t="s">
        <v>335</v>
      </c>
      <c r="F27" s="345" t="s">
        <v>332</v>
      </c>
      <c r="G27" s="638">
        <f>J27*1.7</f>
        <v>0.32364711934156376</v>
      </c>
      <c r="H27" s="384">
        <f>AE29</f>
        <v>0.26898148148148149</v>
      </c>
      <c r="I27" s="384">
        <f>AE28</f>
        <v>0.21682098765432098</v>
      </c>
      <c r="J27" s="384">
        <f>AE27</f>
        <v>0.19038065843621399</v>
      </c>
      <c r="K27" s="345"/>
      <c r="L27" s="345"/>
      <c r="M27" s="339" t="s">
        <v>399</v>
      </c>
      <c r="U27" s="345"/>
      <c r="Y27" s="384">
        <v>2</v>
      </c>
      <c r="Z27" s="383">
        <v>3</v>
      </c>
      <c r="AA27" s="345">
        <f>Y27*1000000/Z27/360</f>
        <v>1851.8518518518517</v>
      </c>
      <c r="AB27" s="633">
        <f>AA27/18</f>
        <v>102.88065843621399</v>
      </c>
      <c r="AC27" s="633">
        <f>(30000*7)/12/200</f>
        <v>87.5</v>
      </c>
      <c r="AD27" s="345">
        <v>1000</v>
      </c>
      <c r="AE27" s="634">
        <f t="shared" ref="AE27:AE28" si="8">(AB27+AC27)/AD27</f>
        <v>0.19038065843621399</v>
      </c>
      <c r="AF27" s="331" t="s">
        <v>391</v>
      </c>
    </row>
    <row r="28" spans="2:32" s="339" customFormat="1" outlineLevel="1">
      <c r="B28" s="395" t="s">
        <v>400</v>
      </c>
      <c r="C28" s="395"/>
      <c r="D28" s="395"/>
      <c r="E28" s="345" t="s">
        <v>335</v>
      </c>
      <c r="F28" s="345" t="s">
        <v>332</v>
      </c>
      <c r="G28" s="638">
        <v>2.1999999999999999E-2</v>
      </c>
      <c r="H28" s="384">
        <v>2.1999999999999999E-2</v>
      </c>
      <c r="I28" s="384">
        <v>2.1999999999999999E-2</v>
      </c>
      <c r="J28" s="384">
        <v>2.1999999999999999E-2</v>
      </c>
      <c r="K28" s="345"/>
      <c r="L28" s="345"/>
      <c r="M28" s="339" t="s">
        <v>531</v>
      </c>
      <c r="U28" s="345"/>
      <c r="W28" s="380">
        <f>G28/G20</f>
        <v>3.8351968012478664E-2</v>
      </c>
      <c r="Y28" s="331"/>
      <c r="Z28" s="331"/>
      <c r="AA28" s="331"/>
      <c r="AB28" s="633">
        <f>AA27/12</f>
        <v>154.32098765432099</v>
      </c>
      <c r="AC28" s="633">
        <f>(30000*5)/12/200</f>
        <v>62.5</v>
      </c>
      <c r="AD28" s="345">
        <v>1000</v>
      </c>
      <c r="AE28" s="634">
        <f t="shared" si="8"/>
        <v>0.21682098765432098</v>
      </c>
      <c r="AF28" s="331" t="s">
        <v>390</v>
      </c>
    </row>
    <row r="29" spans="2:32" s="339" customFormat="1" outlineLevel="1">
      <c r="B29" s="340" t="s">
        <v>343</v>
      </c>
      <c r="C29" s="340"/>
      <c r="D29" s="340"/>
      <c r="E29" s="340" t="s">
        <v>335</v>
      </c>
      <c r="F29" s="340" t="s">
        <v>332</v>
      </c>
      <c r="G29" s="637">
        <f>SUM(G23:G27)*G$16</f>
        <v>5.2387067901234562E-2</v>
      </c>
      <c r="H29" s="380">
        <f>SUM(H23:H27)*H$16</f>
        <v>4.3803222222222223E-2</v>
      </c>
      <c r="I29" s="380">
        <f>SUM(I23:I27)*I$16</f>
        <v>3.5787148148148144E-2</v>
      </c>
      <c r="J29" s="380">
        <f>SUM(J23:J27)*J$16</f>
        <v>3.1437098765432096E-2</v>
      </c>
      <c r="K29" s="340"/>
      <c r="L29" s="340"/>
      <c r="M29" s="340" t="s">
        <v>530</v>
      </c>
      <c r="N29" s="340"/>
      <c r="O29" s="340"/>
      <c r="P29" s="340"/>
      <c r="Q29" s="340"/>
      <c r="R29" s="340"/>
      <c r="S29" s="340"/>
      <c r="T29" s="340"/>
      <c r="U29" s="340"/>
      <c r="Y29" s="331"/>
      <c r="Z29" s="331"/>
      <c r="AA29" s="331"/>
      <c r="AB29" s="633">
        <f>AA27/8</f>
        <v>231.48148148148147</v>
      </c>
      <c r="AC29" s="633">
        <f>(30000*3)/12/200</f>
        <v>37.5</v>
      </c>
      <c r="AD29" s="345">
        <v>1000</v>
      </c>
      <c r="AE29" s="634">
        <f>(AB29+AC29)/AD29</f>
        <v>0.26898148148148149</v>
      </c>
      <c r="AF29" s="331" t="s">
        <v>389</v>
      </c>
    </row>
    <row r="30" spans="2:32" ht="13.15" outlineLevel="1">
      <c r="B30" s="338" t="s">
        <v>333</v>
      </c>
      <c r="C30" s="332"/>
      <c r="D30" s="332"/>
      <c r="E30" s="332" t="s">
        <v>335</v>
      </c>
      <c r="F30" s="332" t="s">
        <v>332</v>
      </c>
      <c r="G30" s="639">
        <f>SUM(G23:G29)</f>
        <v>0.42363418724279833</v>
      </c>
      <c r="H30" s="337">
        <f>SUM(H23:H29)</f>
        <v>0.35782470370370373</v>
      </c>
      <c r="I30" s="337">
        <f>SUM(I23:I29)</f>
        <v>0.29636813580246912</v>
      </c>
      <c r="J30" s="337">
        <f>SUM(J23:J29)</f>
        <v>0.26301775720164605</v>
      </c>
      <c r="K30" s="332"/>
      <c r="L30" s="332"/>
      <c r="M30" s="332"/>
      <c r="N30" s="332"/>
      <c r="O30" s="332"/>
      <c r="P30" s="332"/>
      <c r="Q30" s="332"/>
      <c r="R30" s="332"/>
      <c r="S30" s="332"/>
      <c r="T30" s="332"/>
      <c r="U30" s="332"/>
    </row>
    <row r="31" spans="2:32" outlineLevel="1">
      <c r="B31" s="396" t="s">
        <v>327</v>
      </c>
      <c r="C31" s="396"/>
      <c r="D31" s="396"/>
      <c r="E31" s="333" t="s">
        <v>335</v>
      </c>
      <c r="F31" s="333" t="s">
        <v>332</v>
      </c>
      <c r="G31" s="639">
        <v>0.05</v>
      </c>
      <c r="H31" s="337">
        <f>G31*(1+H$15)</f>
        <v>4.5000000000000005E-2</v>
      </c>
      <c r="I31" s="337">
        <f>G31*(1+I$15)</f>
        <v>4.2500000000000003E-2</v>
      </c>
      <c r="J31" s="337">
        <f>G31*(1+J$15)</f>
        <v>3.7500000000000006E-2</v>
      </c>
      <c r="K31" s="333"/>
      <c r="L31" s="333"/>
      <c r="M31" s="333" t="s">
        <v>367</v>
      </c>
      <c r="N31" s="333"/>
      <c r="O31" s="333"/>
      <c r="P31" s="333"/>
      <c r="Q31" s="333"/>
      <c r="R31" s="333"/>
      <c r="S31" s="333"/>
      <c r="T31" s="333"/>
      <c r="U31" s="333"/>
    </row>
    <row r="32" spans="2:32" ht="13.15" outlineLevel="1">
      <c r="B32" s="334" t="s">
        <v>328</v>
      </c>
      <c r="E32" s="331" t="s">
        <v>335</v>
      </c>
      <c r="F32" s="331" t="s">
        <v>332</v>
      </c>
      <c r="G32" s="342">
        <f>SUM(G30:G31)</f>
        <v>0.47363418724279832</v>
      </c>
      <c r="H32" s="342">
        <f t="shared" ref="H32:J32" si="9">SUM(H30:H31)</f>
        <v>0.40282470370370371</v>
      </c>
      <c r="I32" s="342">
        <f t="shared" si="9"/>
        <v>0.33886813580246911</v>
      </c>
      <c r="J32" s="342">
        <f t="shared" si="9"/>
        <v>0.30051775720164609</v>
      </c>
    </row>
    <row r="33" spans="2:21" outlineLevel="1"/>
    <row r="34" spans="2:21" ht="13.15" outlineLevel="1">
      <c r="B34" s="670" t="s">
        <v>330</v>
      </c>
      <c r="C34" s="672"/>
      <c r="D34" s="672"/>
      <c r="E34" s="672"/>
      <c r="F34" s="672"/>
      <c r="G34" s="671" t="s">
        <v>536</v>
      </c>
      <c r="H34" s="671" t="s">
        <v>402</v>
      </c>
      <c r="I34" s="671"/>
      <c r="J34" s="671"/>
      <c r="K34" s="672"/>
      <c r="L34" s="672"/>
      <c r="M34" s="672"/>
      <c r="N34" s="672"/>
      <c r="O34" s="672"/>
      <c r="P34" s="672"/>
      <c r="Q34" s="672"/>
      <c r="R34" s="672"/>
      <c r="S34" s="672"/>
      <c r="T34" s="672"/>
      <c r="U34" s="672"/>
    </row>
    <row r="35" spans="2:21" outlineLevel="1">
      <c r="B35" s="331" t="s">
        <v>329</v>
      </c>
      <c r="E35" s="331" t="s">
        <v>383</v>
      </c>
      <c r="F35" s="331" t="s">
        <v>332</v>
      </c>
      <c r="G35" s="635">
        <v>500</v>
      </c>
      <c r="H35" s="635">
        <v>300</v>
      </c>
      <c r="I35" s="635">
        <f>H35</f>
        <v>300</v>
      </c>
      <c r="J35" s="635">
        <f>I35</f>
        <v>300</v>
      </c>
      <c r="M35" s="331" t="s">
        <v>532</v>
      </c>
    </row>
    <row r="36" spans="2:21" outlineLevel="1">
      <c r="B36" s="632" t="s">
        <v>330</v>
      </c>
      <c r="C36" s="632"/>
      <c r="D36" s="632"/>
      <c r="E36" s="332" t="s">
        <v>383</v>
      </c>
      <c r="F36" s="332" t="s">
        <v>332</v>
      </c>
      <c r="G36" s="636">
        <v>500</v>
      </c>
      <c r="H36" s="636">
        <v>300</v>
      </c>
      <c r="I36" s="636">
        <v>250</v>
      </c>
      <c r="J36" s="636">
        <f>I36</f>
        <v>250</v>
      </c>
      <c r="K36" s="332"/>
      <c r="L36" s="332"/>
      <c r="M36" s="332" t="str">
        <f>M35</f>
        <v>Research and consulting Schryver International Logistics, FOB m³ at 49$</v>
      </c>
      <c r="N36" s="332"/>
      <c r="O36" s="332"/>
      <c r="P36" s="332"/>
      <c r="Q36" s="332"/>
      <c r="R36" s="332"/>
      <c r="S36" s="332"/>
      <c r="T36" s="332"/>
      <c r="U36" s="332"/>
    </row>
    <row r="37" spans="2:21" ht="13.15" outlineLevel="1">
      <c r="B37" s="334" t="s">
        <v>336</v>
      </c>
      <c r="C37" s="334"/>
      <c r="D37" s="334"/>
      <c r="E37" s="334" t="s">
        <v>335</v>
      </c>
      <c r="F37" s="334" t="s">
        <v>332</v>
      </c>
      <c r="G37" s="342">
        <f>SUM(G35:G36)/10000</f>
        <v>0.1</v>
      </c>
      <c r="H37" s="342">
        <f t="shared" ref="H37:J37" si="10">SUM(H35:H36)/10000</f>
        <v>0.06</v>
      </c>
      <c r="I37" s="342">
        <f t="shared" si="10"/>
        <v>5.5E-2</v>
      </c>
      <c r="J37" s="342">
        <f t="shared" si="10"/>
        <v>5.5E-2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T53"/>
  <sheetViews>
    <sheetView zoomScale="145" zoomScaleNormal="145" workbookViewId="0">
      <pane xSplit="8" ySplit="3" topLeftCell="I10" activePane="bottomRight" state="frozen"/>
      <selection pane="topRight" activeCell="I1" sqref="I1"/>
      <selection pane="bottomLeft" activeCell="A3" sqref="A3"/>
      <selection pane="bottomRight" activeCell="E38" sqref="E38"/>
    </sheetView>
  </sheetViews>
  <sheetFormatPr defaultColWidth="13" defaultRowHeight="7.9" outlineLevelRow="1" outlineLevelCol="1"/>
  <cols>
    <col min="1" max="1" width="2" style="141" customWidth="1"/>
    <col min="2" max="2" width="37.44140625" style="141" customWidth="1"/>
    <col min="3" max="3" width="3.21875" style="191" customWidth="1"/>
    <col min="4" max="8" width="13" style="101" customWidth="1"/>
    <col min="9" max="9" width="3" style="101" customWidth="1"/>
    <col min="10" max="10" width="16.5546875" style="101" hidden="1" customWidth="1" outlineLevel="1"/>
    <col min="11" max="11" width="13" style="88" hidden="1" customWidth="1" outlineLevel="1"/>
    <col min="12" max="12" width="13" style="88" customWidth="1" collapsed="1"/>
    <col min="13" max="34" width="13" style="88" customWidth="1"/>
    <col min="35" max="71" width="13" style="88"/>
    <col min="72" max="72" width="3.5546875" style="88" customWidth="1"/>
    <col min="73" max="16384" width="13" style="88"/>
  </cols>
  <sheetData>
    <row r="1" spans="1:72" s="65" customFormat="1" ht="8.25" thickTop="1">
      <c r="A1" s="73" t="str">
        <f>Details!A1</f>
        <v>PEP STRAW</v>
      </c>
      <c r="B1" s="74"/>
      <c r="C1" s="75"/>
      <c r="D1" s="77">
        <f>'Summary Statements'!B2</f>
        <v>0</v>
      </c>
      <c r="E1" s="77"/>
      <c r="F1" s="77"/>
      <c r="G1" s="77"/>
      <c r="H1" s="77"/>
      <c r="I1" s="77"/>
      <c r="J1" s="77"/>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301" t="s">
        <v>321</v>
      </c>
    </row>
    <row r="2" spans="1:72" s="65" customFormat="1">
      <c r="A2" s="389"/>
      <c r="B2" s="69"/>
      <c r="C2" s="70"/>
      <c r="D2" s="390">
        <f>Details!B2</f>
        <v>0</v>
      </c>
      <c r="E2" s="390"/>
      <c r="F2" s="390"/>
      <c r="G2" s="390"/>
      <c r="H2" s="390"/>
      <c r="I2" s="390"/>
      <c r="J2" s="390"/>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391"/>
      <c r="BK2" s="391"/>
      <c r="BL2" s="391"/>
      <c r="BM2" s="391"/>
      <c r="BN2" s="391"/>
      <c r="BO2" s="391"/>
      <c r="BP2" s="391"/>
      <c r="BQ2" s="391"/>
      <c r="BR2" s="391"/>
      <c r="BS2" s="391"/>
      <c r="BT2" s="301"/>
    </row>
    <row r="3" spans="1:72">
      <c r="A3" s="326" t="s">
        <v>317</v>
      </c>
      <c r="B3" s="329"/>
      <c r="C3" s="330"/>
      <c r="D3" s="327">
        <f>YEAR(Assumptions!$I$9)</f>
        <v>2019</v>
      </c>
      <c r="E3" s="327">
        <f>D3+1</f>
        <v>2020</v>
      </c>
      <c r="F3" s="327">
        <f t="shared" ref="F3:H3" si="0">E3+1</f>
        <v>2021</v>
      </c>
      <c r="G3" s="327">
        <f t="shared" si="0"/>
        <v>2022</v>
      </c>
      <c r="H3" s="327">
        <f t="shared" si="0"/>
        <v>2023</v>
      </c>
      <c r="I3" s="327"/>
      <c r="J3" s="328"/>
      <c r="K3" s="328">
        <v>0</v>
      </c>
      <c r="L3" s="328">
        <f>K3+1</f>
        <v>1</v>
      </c>
      <c r="M3" s="328">
        <f t="shared" ref="M3:BS3" si="1">L3+1</f>
        <v>2</v>
      </c>
      <c r="N3" s="328">
        <f t="shared" si="1"/>
        <v>3</v>
      </c>
      <c r="O3" s="328">
        <f t="shared" si="1"/>
        <v>4</v>
      </c>
      <c r="P3" s="328">
        <f t="shared" si="1"/>
        <v>5</v>
      </c>
      <c r="Q3" s="328">
        <f t="shared" si="1"/>
        <v>6</v>
      </c>
      <c r="R3" s="328">
        <f t="shared" si="1"/>
        <v>7</v>
      </c>
      <c r="S3" s="328">
        <f t="shared" si="1"/>
        <v>8</v>
      </c>
      <c r="T3" s="328">
        <f t="shared" si="1"/>
        <v>9</v>
      </c>
      <c r="U3" s="328">
        <f t="shared" si="1"/>
        <v>10</v>
      </c>
      <c r="V3" s="328">
        <f t="shared" si="1"/>
        <v>11</v>
      </c>
      <c r="W3" s="328">
        <f t="shared" si="1"/>
        <v>12</v>
      </c>
      <c r="X3" s="328">
        <f t="shared" si="1"/>
        <v>13</v>
      </c>
      <c r="Y3" s="328">
        <f t="shared" si="1"/>
        <v>14</v>
      </c>
      <c r="Z3" s="328">
        <f t="shared" si="1"/>
        <v>15</v>
      </c>
      <c r="AA3" s="328">
        <f t="shared" si="1"/>
        <v>16</v>
      </c>
      <c r="AB3" s="328">
        <f t="shared" si="1"/>
        <v>17</v>
      </c>
      <c r="AC3" s="328">
        <f t="shared" si="1"/>
        <v>18</v>
      </c>
      <c r="AD3" s="328">
        <f t="shared" si="1"/>
        <v>19</v>
      </c>
      <c r="AE3" s="328">
        <f t="shared" si="1"/>
        <v>20</v>
      </c>
      <c r="AF3" s="328">
        <f t="shared" si="1"/>
        <v>21</v>
      </c>
      <c r="AG3" s="328">
        <f t="shared" si="1"/>
        <v>22</v>
      </c>
      <c r="AH3" s="328">
        <f t="shared" si="1"/>
        <v>23</v>
      </c>
      <c r="AI3" s="328">
        <f t="shared" si="1"/>
        <v>24</v>
      </c>
      <c r="AJ3" s="328">
        <f t="shared" si="1"/>
        <v>25</v>
      </c>
      <c r="AK3" s="328">
        <f t="shared" si="1"/>
        <v>26</v>
      </c>
      <c r="AL3" s="328">
        <f t="shared" si="1"/>
        <v>27</v>
      </c>
      <c r="AM3" s="328">
        <f t="shared" si="1"/>
        <v>28</v>
      </c>
      <c r="AN3" s="328">
        <f t="shared" si="1"/>
        <v>29</v>
      </c>
      <c r="AO3" s="328">
        <f t="shared" si="1"/>
        <v>30</v>
      </c>
      <c r="AP3" s="328">
        <f t="shared" si="1"/>
        <v>31</v>
      </c>
      <c r="AQ3" s="328">
        <f t="shared" si="1"/>
        <v>32</v>
      </c>
      <c r="AR3" s="328">
        <f t="shared" si="1"/>
        <v>33</v>
      </c>
      <c r="AS3" s="328">
        <f t="shared" si="1"/>
        <v>34</v>
      </c>
      <c r="AT3" s="328">
        <f t="shared" si="1"/>
        <v>35</v>
      </c>
      <c r="AU3" s="328">
        <f t="shared" si="1"/>
        <v>36</v>
      </c>
      <c r="AV3" s="328">
        <f t="shared" si="1"/>
        <v>37</v>
      </c>
      <c r="AW3" s="328">
        <f t="shared" si="1"/>
        <v>38</v>
      </c>
      <c r="AX3" s="328">
        <f t="shared" si="1"/>
        <v>39</v>
      </c>
      <c r="AY3" s="328">
        <f t="shared" si="1"/>
        <v>40</v>
      </c>
      <c r="AZ3" s="328">
        <f t="shared" si="1"/>
        <v>41</v>
      </c>
      <c r="BA3" s="328">
        <f t="shared" si="1"/>
        <v>42</v>
      </c>
      <c r="BB3" s="328">
        <f t="shared" si="1"/>
        <v>43</v>
      </c>
      <c r="BC3" s="328">
        <f t="shared" si="1"/>
        <v>44</v>
      </c>
      <c r="BD3" s="328">
        <f t="shared" si="1"/>
        <v>45</v>
      </c>
      <c r="BE3" s="328">
        <f t="shared" si="1"/>
        <v>46</v>
      </c>
      <c r="BF3" s="328">
        <f t="shared" si="1"/>
        <v>47</v>
      </c>
      <c r="BG3" s="328">
        <f t="shared" si="1"/>
        <v>48</v>
      </c>
      <c r="BH3" s="328">
        <f t="shared" si="1"/>
        <v>49</v>
      </c>
      <c r="BI3" s="328">
        <f t="shared" si="1"/>
        <v>50</v>
      </c>
      <c r="BJ3" s="328">
        <f t="shared" si="1"/>
        <v>51</v>
      </c>
      <c r="BK3" s="328">
        <f t="shared" si="1"/>
        <v>52</v>
      </c>
      <c r="BL3" s="328">
        <f t="shared" si="1"/>
        <v>53</v>
      </c>
      <c r="BM3" s="328">
        <f t="shared" si="1"/>
        <v>54</v>
      </c>
      <c r="BN3" s="328">
        <f t="shared" si="1"/>
        <v>55</v>
      </c>
      <c r="BO3" s="328">
        <f t="shared" si="1"/>
        <v>56</v>
      </c>
      <c r="BP3" s="328">
        <f t="shared" si="1"/>
        <v>57</v>
      </c>
      <c r="BQ3" s="328">
        <f t="shared" si="1"/>
        <v>58</v>
      </c>
      <c r="BR3" s="328">
        <f t="shared" si="1"/>
        <v>59</v>
      </c>
      <c r="BS3" s="328">
        <f t="shared" si="1"/>
        <v>60</v>
      </c>
      <c r="BT3" s="301" t="s">
        <v>321</v>
      </c>
    </row>
    <row r="4" spans="1:72">
      <c r="A4" s="89" t="s">
        <v>376</v>
      </c>
      <c r="B4" s="90"/>
      <c r="C4" s="91"/>
      <c r="D4" s="93"/>
      <c r="E4" s="93"/>
      <c r="F4" s="93"/>
      <c r="G4" s="93"/>
      <c r="H4" s="93"/>
      <c r="I4" s="93"/>
      <c r="J4" s="93"/>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301" t="s">
        <v>321</v>
      </c>
    </row>
    <row r="5" spans="1:72">
      <c r="A5" s="89"/>
      <c r="B5" s="90" t="str">
        <f>$B$18</f>
        <v>PEP Straw 1</v>
      </c>
      <c r="C5" s="91"/>
      <c r="D5" s="385">
        <v>0</v>
      </c>
      <c r="E5" s="385">
        <v>0.18</v>
      </c>
      <c r="F5" s="385">
        <v>0.01</v>
      </c>
      <c r="G5" s="385">
        <v>0.02</v>
      </c>
      <c r="H5" s="385">
        <v>0.01</v>
      </c>
      <c r="I5" s="93"/>
      <c r="J5" s="93"/>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301"/>
    </row>
    <row r="6" spans="1:72">
      <c r="A6" s="89"/>
      <c r="B6" s="90" t="str">
        <f>$B$19</f>
        <v>PEP Straw 2</v>
      </c>
      <c r="C6" s="91"/>
      <c r="D6" s="385">
        <v>0</v>
      </c>
      <c r="E6" s="385">
        <v>0</v>
      </c>
      <c r="F6" s="385">
        <v>0.1</v>
      </c>
      <c r="G6" s="385">
        <v>0.08</v>
      </c>
      <c r="H6" s="385">
        <v>0.02</v>
      </c>
      <c r="I6" s="93"/>
      <c r="J6" s="93"/>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301"/>
    </row>
    <row r="7" spans="1:72">
      <c r="A7" s="89"/>
      <c r="B7" s="90" t="str">
        <f>$B$20</f>
        <v>PEP Straw 3</v>
      </c>
      <c r="C7" s="91"/>
      <c r="D7" s="385">
        <v>0</v>
      </c>
      <c r="E7" s="385">
        <v>0</v>
      </c>
      <c r="F7" s="385">
        <v>0</v>
      </c>
      <c r="G7" s="385">
        <v>7.0000000000000007E-2</v>
      </c>
      <c r="H7" s="385">
        <v>0.05</v>
      </c>
      <c r="I7" s="93"/>
      <c r="J7" s="93"/>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301"/>
    </row>
    <row r="8" spans="1:72">
      <c r="A8" s="89"/>
      <c r="B8" s="90" t="str">
        <f>$B$21</f>
        <v>PRODUCT 4</v>
      </c>
      <c r="C8" s="91"/>
      <c r="D8" s="385">
        <v>0</v>
      </c>
      <c r="E8" s="385">
        <v>0</v>
      </c>
      <c r="F8" s="385">
        <v>0</v>
      </c>
      <c r="G8" s="385">
        <v>0</v>
      </c>
      <c r="H8" s="385">
        <v>0</v>
      </c>
      <c r="I8" s="93"/>
      <c r="J8" s="93"/>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301"/>
    </row>
    <row r="9" spans="1:72">
      <c r="A9" s="89"/>
      <c r="B9" s="90" t="str">
        <f>$B$22</f>
        <v>PRODUCT 5</v>
      </c>
      <c r="C9" s="91"/>
      <c r="D9" s="385">
        <v>0</v>
      </c>
      <c r="E9" s="385">
        <v>0</v>
      </c>
      <c r="F9" s="385">
        <v>0</v>
      </c>
      <c r="G9" s="385">
        <v>0</v>
      </c>
      <c r="H9" s="385">
        <v>0</v>
      </c>
      <c r="I9" s="93"/>
      <c r="J9" s="93"/>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301"/>
    </row>
    <row r="10" spans="1:72">
      <c r="A10" s="89"/>
      <c r="B10" s="90"/>
      <c r="C10" s="91"/>
      <c r="D10" s="355"/>
      <c r="E10" s="355"/>
      <c r="F10" s="355"/>
      <c r="G10" s="355"/>
      <c r="H10" s="355"/>
      <c r="I10" s="93"/>
      <c r="J10" s="93"/>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301"/>
    </row>
    <row r="11" spans="1:72">
      <c r="A11" s="89"/>
      <c r="B11" s="90" t="str">
        <f>$B$18</f>
        <v>PEP Straw 1</v>
      </c>
      <c r="C11" s="91"/>
      <c r="D11" s="385">
        <f t="shared" ref="D11" si="2">IFERROR(D18/C18-1,0)</f>
        <v>0</v>
      </c>
      <c r="E11" s="385">
        <f>IFERROR(E18/D18-1,0)</f>
        <v>10.693262411347519</v>
      </c>
      <c r="F11" s="385">
        <f t="shared" ref="F11:H11" si="3">IFERROR(F18/E18-1,0)</f>
        <v>1.2647292797573919</v>
      </c>
      <c r="G11" s="385">
        <f t="shared" si="3"/>
        <v>0.20344638862354736</v>
      </c>
      <c r="H11" s="385">
        <f t="shared" si="3"/>
        <v>0.18749620018142998</v>
      </c>
      <c r="I11" s="93"/>
      <c r="J11" s="93"/>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301"/>
    </row>
    <row r="12" spans="1:72">
      <c r="A12" s="89"/>
      <c r="B12" s="90" t="str">
        <f>$B$19</f>
        <v>PEP Straw 2</v>
      </c>
      <c r="C12" s="91"/>
      <c r="D12" s="385">
        <f t="shared" ref="D12:H12" si="4">IFERROR(D19/C19-1,0)</f>
        <v>0</v>
      </c>
      <c r="E12" s="385">
        <f t="shared" si="4"/>
        <v>0</v>
      </c>
      <c r="F12" s="385">
        <f t="shared" si="4"/>
        <v>0</v>
      </c>
      <c r="G12" s="385">
        <f t="shared" si="4"/>
        <v>1.7345292126890048</v>
      </c>
      <c r="H12" s="385">
        <f t="shared" si="4"/>
        <v>0.68084505514532534</v>
      </c>
      <c r="I12" s="93"/>
      <c r="J12" s="93"/>
      <c r="K12" s="92"/>
      <c r="L12" s="92"/>
      <c r="M12" s="92"/>
      <c r="N12" s="92"/>
      <c r="O12" s="92"/>
      <c r="P12" s="92"/>
      <c r="Q12" s="92"/>
      <c r="R12" s="92"/>
      <c r="S12" s="92"/>
      <c r="T12" s="92"/>
      <c r="U12" s="394">
        <f>10*800</f>
        <v>8000</v>
      </c>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301"/>
    </row>
    <row r="13" spans="1:72">
      <c r="A13" s="89"/>
      <c r="B13" s="90" t="str">
        <f>$B$20</f>
        <v>PEP Straw 3</v>
      </c>
      <c r="C13" s="91"/>
      <c r="D13" s="385">
        <f t="shared" ref="D13:H13" si="5">IFERROR(D20/C20-1,0)</f>
        <v>0</v>
      </c>
      <c r="E13" s="385">
        <f t="shared" si="5"/>
        <v>0</v>
      </c>
      <c r="F13" s="385">
        <f t="shared" si="5"/>
        <v>0</v>
      </c>
      <c r="G13" s="385">
        <f t="shared" si="5"/>
        <v>0</v>
      </c>
      <c r="H13" s="385">
        <f t="shared" si="5"/>
        <v>0.96654733661435066</v>
      </c>
      <c r="I13" s="93"/>
      <c r="J13" s="93"/>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301"/>
    </row>
    <row r="14" spans="1:72">
      <c r="A14" s="89"/>
      <c r="B14" s="90" t="str">
        <f>$B$21</f>
        <v>PRODUCT 4</v>
      </c>
      <c r="C14" s="91"/>
      <c r="D14" s="385">
        <f t="shared" ref="D14:H14" si="6">IFERROR(D21/C21-1,0)</f>
        <v>0</v>
      </c>
      <c r="E14" s="385">
        <f t="shared" si="6"/>
        <v>0</v>
      </c>
      <c r="F14" s="385">
        <f t="shared" si="6"/>
        <v>0</v>
      </c>
      <c r="G14" s="385">
        <f t="shared" si="6"/>
        <v>0</v>
      </c>
      <c r="H14" s="385">
        <f t="shared" si="6"/>
        <v>0</v>
      </c>
      <c r="I14" s="93"/>
      <c r="J14" s="93"/>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301"/>
    </row>
    <row r="15" spans="1:72">
      <c r="A15" s="89"/>
      <c r="B15" s="90" t="str">
        <f>$B$22</f>
        <v>PRODUCT 5</v>
      </c>
      <c r="C15" s="91"/>
      <c r="D15" s="385">
        <f t="shared" ref="D15:H15" si="7">IFERROR(D22/C22-1,0)</f>
        <v>0</v>
      </c>
      <c r="E15" s="385">
        <f t="shared" si="7"/>
        <v>0</v>
      </c>
      <c r="F15" s="385">
        <f t="shared" si="7"/>
        <v>0</v>
      </c>
      <c r="G15" s="385">
        <f t="shared" si="7"/>
        <v>0</v>
      </c>
      <c r="H15" s="385">
        <f t="shared" si="7"/>
        <v>0</v>
      </c>
      <c r="I15" s="93"/>
      <c r="J15" s="93"/>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301"/>
    </row>
    <row r="16" spans="1:72">
      <c r="A16" s="89"/>
      <c r="B16" s="90"/>
      <c r="C16" s="91"/>
      <c r="D16" s="93"/>
      <c r="E16" s="93"/>
      <c r="F16" s="93"/>
      <c r="G16" s="93"/>
      <c r="H16" s="93"/>
      <c r="I16" s="93"/>
      <c r="J16" s="93"/>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301"/>
    </row>
    <row r="17" spans="1:72">
      <c r="A17" s="96" t="s">
        <v>323</v>
      </c>
      <c r="B17" s="97"/>
      <c r="C17" s="98"/>
      <c r="D17" s="100"/>
      <c r="E17" s="100"/>
      <c r="F17" s="100"/>
      <c r="G17" s="100"/>
      <c r="H17" s="100"/>
      <c r="I17" s="100"/>
      <c r="J17" s="100"/>
      <c r="K17" s="99"/>
      <c r="L17" s="99"/>
      <c r="M17" s="99"/>
      <c r="N17" s="99"/>
      <c r="O17" s="99"/>
      <c r="P17" s="99"/>
      <c r="Q17" s="99"/>
      <c r="R17" s="99"/>
      <c r="S17" s="99" t="s">
        <v>385</v>
      </c>
      <c r="T17" s="99"/>
      <c r="U17" s="99"/>
      <c r="V17" s="99" t="s">
        <v>401</v>
      </c>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301" t="s">
        <v>321</v>
      </c>
    </row>
    <row r="18" spans="1:72">
      <c r="A18" s="96"/>
      <c r="B18" s="69" t="str">
        <f>Assumptions!I10</f>
        <v>PEP Straw 1</v>
      </c>
      <c r="C18" s="98"/>
      <c r="D18" s="303">
        <f>SUM(K18:W18)</f>
        <v>352500</v>
      </c>
      <c r="E18" s="303">
        <f>SUM(X18:AI18)</f>
        <v>4121875</v>
      </c>
      <c r="F18" s="303">
        <f>SUM(AJ18:AU18)</f>
        <v>9334931</v>
      </c>
      <c r="G18" s="303">
        <f>SUM(AV18:BG18)</f>
        <v>11234089</v>
      </c>
      <c r="H18" s="303">
        <f>SUM(BH18:BS18)</f>
        <v>13340438</v>
      </c>
      <c r="I18" s="303"/>
      <c r="J18" s="100"/>
      <c r="K18" s="99"/>
      <c r="L18" s="367">
        <f>ROUND(K18*(1+$D5),0)</f>
        <v>0</v>
      </c>
      <c r="M18" s="367">
        <f t="shared" ref="M18:N18" si="8">ROUND(L18*(1+$D5),0)</f>
        <v>0</v>
      </c>
      <c r="N18" s="367">
        <f t="shared" si="8"/>
        <v>0</v>
      </c>
      <c r="O18" s="367">
        <v>5000</v>
      </c>
      <c r="P18" s="367">
        <f>O18+2500</f>
        <v>7500</v>
      </c>
      <c r="Q18" s="367">
        <f t="shared" ref="Q18:U18" si="9">P18+2500</f>
        <v>10000</v>
      </c>
      <c r="R18" s="367">
        <f t="shared" si="9"/>
        <v>12500</v>
      </c>
      <c r="S18" s="367">
        <v>40000</v>
      </c>
      <c r="T18" s="367">
        <f t="shared" si="9"/>
        <v>42500</v>
      </c>
      <c r="U18" s="367">
        <f t="shared" si="9"/>
        <v>45000</v>
      </c>
      <c r="V18" s="367">
        <v>90000</v>
      </c>
      <c r="W18" s="367">
        <v>100000</v>
      </c>
      <c r="X18" s="368">
        <f>ROUND(W18*(1+$E5),0)</f>
        <v>118000</v>
      </c>
      <c r="Y18" s="367">
        <f t="shared" ref="Y18:AI18" si="10">ROUND(X18*(1+$E5),0)</f>
        <v>139240</v>
      </c>
      <c r="Z18" s="367">
        <f t="shared" si="10"/>
        <v>164303</v>
      </c>
      <c r="AA18" s="367">
        <f t="shared" si="10"/>
        <v>193878</v>
      </c>
      <c r="AB18" s="367">
        <f t="shared" si="10"/>
        <v>228776</v>
      </c>
      <c r="AC18" s="367">
        <f t="shared" si="10"/>
        <v>269956</v>
      </c>
      <c r="AD18" s="367">
        <f t="shared" si="10"/>
        <v>318548</v>
      </c>
      <c r="AE18" s="367">
        <f t="shared" si="10"/>
        <v>375887</v>
      </c>
      <c r="AF18" s="367">
        <f t="shared" si="10"/>
        <v>443547</v>
      </c>
      <c r="AG18" s="367">
        <f t="shared" si="10"/>
        <v>523385</v>
      </c>
      <c r="AH18" s="367">
        <f t="shared" si="10"/>
        <v>617594</v>
      </c>
      <c r="AI18" s="367">
        <f t="shared" si="10"/>
        <v>728761</v>
      </c>
      <c r="AJ18" s="368">
        <f>ROUND(AI18*(1+$F5),0)</f>
        <v>736049</v>
      </c>
      <c r="AK18" s="367">
        <f t="shared" ref="AK18:AU18" si="11">ROUND(AJ18*(1+$F5),0)</f>
        <v>743409</v>
      </c>
      <c r="AL18" s="367">
        <f t="shared" si="11"/>
        <v>750843</v>
      </c>
      <c r="AM18" s="367">
        <f t="shared" si="11"/>
        <v>758351</v>
      </c>
      <c r="AN18" s="367">
        <f t="shared" si="11"/>
        <v>765935</v>
      </c>
      <c r="AO18" s="367">
        <f t="shared" si="11"/>
        <v>773594</v>
      </c>
      <c r="AP18" s="367">
        <f t="shared" si="11"/>
        <v>781330</v>
      </c>
      <c r="AQ18" s="367">
        <f t="shared" si="11"/>
        <v>789143</v>
      </c>
      <c r="AR18" s="367">
        <f t="shared" si="11"/>
        <v>797034</v>
      </c>
      <c r="AS18" s="367">
        <f t="shared" si="11"/>
        <v>805004</v>
      </c>
      <c r="AT18" s="367">
        <f t="shared" si="11"/>
        <v>813054</v>
      </c>
      <c r="AU18" s="367">
        <f t="shared" si="11"/>
        <v>821185</v>
      </c>
      <c r="AV18" s="368">
        <f>ROUND(AU18*(1+$G5),0)</f>
        <v>837609</v>
      </c>
      <c r="AW18" s="367">
        <f t="shared" ref="AW18:BG18" si="12">ROUND(AV18*(1+$G5),0)</f>
        <v>854361</v>
      </c>
      <c r="AX18" s="367">
        <f t="shared" si="12"/>
        <v>871448</v>
      </c>
      <c r="AY18" s="367">
        <f t="shared" si="12"/>
        <v>888877</v>
      </c>
      <c r="AZ18" s="367">
        <f t="shared" si="12"/>
        <v>906655</v>
      </c>
      <c r="BA18" s="367">
        <f t="shared" si="12"/>
        <v>924788</v>
      </c>
      <c r="BB18" s="367">
        <f t="shared" si="12"/>
        <v>943284</v>
      </c>
      <c r="BC18" s="367">
        <f t="shared" si="12"/>
        <v>962150</v>
      </c>
      <c r="BD18" s="367">
        <f t="shared" si="12"/>
        <v>981393</v>
      </c>
      <c r="BE18" s="367">
        <f t="shared" si="12"/>
        <v>1001021</v>
      </c>
      <c r="BF18" s="367">
        <f t="shared" si="12"/>
        <v>1021041</v>
      </c>
      <c r="BG18" s="367">
        <f t="shared" si="12"/>
        <v>1041462</v>
      </c>
      <c r="BH18" s="368">
        <f>ROUND(BG18*(1+$H5),0)</f>
        <v>1051877</v>
      </c>
      <c r="BI18" s="367">
        <f t="shared" ref="BI18:BS18" si="13">ROUND(BH18*(1+$H5),0)</f>
        <v>1062396</v>
      </c>
      <c r="BJ18" s="367">
        <f t="shared" si="13"/>
        <v>1073020</v>
      </c>
      <c r="BK18" s="367">
        <f t="shared" si="13"/>
        <v>1083750</v>
      </c>
      <c r="BL18" s="367">
        <f t="shared" si="13"/>
        <v>1094588</v>
      </c>
      <c r="BM18" s="367">
        <f t="shared" si="13"/>
        <v>1105534</v>
      </c>
      <c r="BN18" s="367">
        <f t="shared" si="13"/>
        <v>1116589</v>
      </c>
      <c r="BO18" s="367">
        <f t="shared" si="13"/>
        <v>1127755</v>
      </c>
      <c r="BP18" s="367">
        <f t="shared" si="13"/>
        <v>1139033</v>
      </c>
      <c r="BQ18" s="367">
        <f t="shared" si="13"/>
        <v>1150423</v>
      </c>
      <c r="BR18" s="367">
        <f t="shared" si="13"/>
        <v>1161927</v>
      </c>
      <c r="BS18" s="367">
        <f t="shared" si="13"/>
        <v>1173546</v>
      </c>
      <c r="BT18" s="301" t="s">
        <v>321</v>
      </c>
    </row>
    <row r="19" spans="1:72">
      <c r="A19" s="96"/>
      <c r="B19" s="69" t="str">
        <f>Assumptions!I11</f>
        <v>PEP Straw 2</v>
      </c>
      <c r="C19" s="98"/>
      <c r="D19" s="303">
        <f t="shared" ref="D19:D22" si="14">SUM(K19:W19)</f>
        <v>0</v>
      </c>
      <c r="E19" s="303">
        <f t="shared" ref="E19:E22" si="15">SUM(X19:AI19)</f>
        <v>0</v>
      </c>
      <c r="F19" s="303">
        <f t="shared" ref="F19:F22" si="16">SUM(AJ19:AU19)</f>
        <v>748459</v>
      </c>
      <c r="G19" s="303">
        <f t="shared" ref="G19:G22" si="17">SUM(AV19:BG19)</f>
        <v>2046683</v>
      </c>
      <c r="H19" s="303">
        <f t="shared" ref="H19:H22" si="18">SUM(BH19:BS19)</f>
        <v>3440157</v>
      </c>
      <c r="I19" s="303"/>
      <c r="J19" s="100"/>
      <c r="K19" s="99"/>
      <c r="L19" s="367">
        <f t="shared" ref="L19:W19" si="19">ROUND(K19*(1+$D6),0)</f>
        <v>0</v>
      </c>
      <c r="M19" s="367">
        <f t="shared" si="19"/>
        <v>0</v>
      </c>
      <c r="N19" s="367">
        <f t="shared" si="19"/>
        <v>0</v>
      </c>
      <c r="O19" s="367">
        <f t="shared" si="19"/>
        <v>0</v>
      </c>
      <c r="P19" s="367">
        <f t="shared" si="19"/>
        <v>0</v>
      </c>
      <c r="Q19" s="367">
        <f t="shared" si="19"/>
        <v>0</v>
      </c>
      <c r="R19" s="367">
        <f t="shared" si="19"/>
        <v>0</v>
      </c>
      <c r="S19" s="367">
        <f t="shared" si="19"/>
        <v>0</v>
      </c>
      <c r="T19" s="367">
        <f t="shared" si="19"/>
        <v>0</v>
      </c>
      <c r="U19" s="367">
        <f t="shared" si="19"/>
        <v>0</v>
      </c>
      <c r="V19" s="367">
        <f t="shared" si="19"/>
        <v>0</v>
      </c>
      <c r="W19" s="367">
        <f t="shared" si="19"/>
        <v>0</v>
      </c>
      <c r="X19" s="367">
        <f t="shared" ref="X19:AI19" si="20">ROUND(W19*(1+$E6),0)</f>
        <v>0</v>
      </c>
      <c r="Y19" s="367">
        <f t="shared" si="20"/>
        <v>0</v>
      </c>
      <c r="Z19" s="367">
        <f t="shared" si="20"/>
        <v>0</v>
      </c>
      <c r="AA19" s="367">
        <f t="shared" si="20"/>
        <v>0</v>
      </c>
      <c r="AB19" s="367">
        <f t="shared" si="20"/>
        <v>0</v>
      </c>
      <c r="AC19" s="367">
        <f t="shared" si="20"/>
        <v>0</v>
      </c>
      <c r="AD19" s="367">
        <f t="shared" si="20"/>
        <v>0</v>
      </c>
      <c r="AE19" s="367">
        <f t="shared" si="20"/>
        <v>0</v>
      </c>
      <c r="AF19" s="367">
        <f t="shared" si="20"/>
        <v>0</v>
      </c>
      <c r="AG19" s="367">
        <f t="shared" si="20"/>
        <v>0</v>
      </c>
      <c r="AH19" s="367">
        <f t="shared" si="20"/>
        <v>0</v>
      </c>
      <c r="AI19" s="367">
        <f t="shared" si="20"/>
        <v>0</v>
      </c>
      <c r="AJ19" s="368">
        <v>35000</v>
      </c>
      <c r="AK19" s="367">
        <f t="shared" ref="AK19:AU19" si="21">ROUND(AJ19*(1+$F6),0)</f>
        <v>38500</v>
      </c>
      <c r="AL19" s="367">
        <f t="shared" si="21"/>
        <v>42350</v>
      </c>
      <c r="AM19" s="367">
        <f t="shared" si="21"/>
        <v>46585</v>
      </c>
      <c r="AN19" s="367">
        <f t="shared" si="21"/>
        <v>51244</v>
      </c>
      <c r="AO19" s="367">
        <f t="shared" si="21"/>
        <v>56368</v>
      </c>
      <c r="AP19" s="367">
        <f t="shared" si="21"/>
        <v>62005</v>
      </c>
      <c r="AQ19" s="367">
        <f t="shared" si="21"/>
        <v>68206</v>
      </c>
      <c r="AR19" s="367">
        <f t="shared" si="21"/>
        <v>75027</v>
      </c>
      <c r="AS19" s="367">
        <f t="shared" si="21"/>
        <v>82530</v>
      </c>
      <c r="AT19" s="367">
        <f t="shared" si="21"/>
        <v>90783</v>
      </c>
      <c r="AU19" s="367">
        <f t="shared" si="21"/>
        <v>99861</v>
      </c>
      <c r="AV19" s="368">
        <f t="shared" ref="AV19:BG19" si="22">ROUND(AU19*(1+$G6),0)</f>
        <v>107850</v>
      </c>
      <c r="AW19" s="367">
        <f t="shared" si="22"/>
        <v>116478</v>
      </c>
      <c r="AX19" s="367">
        <f t="shared" si="22"/>
        <v>125796</v>
      </c>
      <c r="AY19" s="367">
        <f t="shared" si="22"/>
        <v>135860</v>
      </c>
      <c r="AZ19" s="367">
        <f t="shared" si="22"/>
        <v>146729</v>
      </c>
      <c r="BA19" s="367">
        <f t="shared" si="22"/>
        <v>158467</v>
      </c>
      <c r="BB19" s="367">
        <f t="shared" si="22"/>
        <v>171144</v>
      </c>
      <c r="BC19" s="367">
        <f t="shared" si="22"/>
        <v>184836</v>
      </c>
      <c r="BD19" s="367">
        <f t="shared" si="22"/>
        <v>199623</v>
      </c>
      <c r="BE19" s="367">
        <f t="shared" si="22"/>
        <v>215593</v>
      </c>
      <c r="BF19" s="367">
        <f t="shared" si="22"/>
        <v>232840</v>
      </c>
      <c r="BG19" s="367">
        <f t="shared" si="22"/>
        <v>251467</v>
      </c>
      <c r="BH19" s="368">
        <f t="shared" ref="BH19:BS19" si="23">ROUND(BG19*(1+$H6),0)</f>
        <v>256496</v>
      </c>
      <c r="BI19" s="367">
        <f t="shared" si="23"/>
        <v>261626</v>
      </c>
      <c r="BJ19" s="367">
        <f t="shared" si="23"/>
        <v>266859</v>
      </c>
      <c r="BK19" s="367">
        <f t="shared" si="23"/>
        <v>272196</v>
      </c>
      <c r="BL19" s="367">
        <f t="shared" si="23"/>
        <v>277640</v>
      </c>
      <c r="BM19" s="367">
        <f t="shared" si="23"/>
        <v>283193</v>
      </c>
      <c r="BN19" s="367">
        <f t="shared" si="23"/>
        <v>288857</v>
      </c>
      <c r="BO19" s="367">
        <f t="shared" si="23"/>
        <v>294634</v>
      </c>
      <c r="BP19" s="367">
        <f t="shared" si="23"/>
        <v>300527</v>
      </c>
      <c r="BQ19" s="367">
        <f t="shared" si="23"/>
        <v>306538</v>
      </c>
      <c r="BR19" s="367">
        <f t="shared" si="23"/>
        <v>312669</v>
      </c>
      <c r="BS19" s="367">
        <f t="shared" si="23"/>
        <v>318922</v>
      </c>
      <c r="BT19" s="301" t="s">
        <v>321</v>
      </c>
    </row>
    <row r="20" spans="1:72">
      <c r="A20" s="96"/>
      <c r="B20" s="69" t="str">
        <f>Assumptions!I12</f>
        <v>PEP Straw 3</v>
      </c>
      <c r="C20" s="98"/>
      <c r="D20" s="303">
        <f t="shared" si="14"/>
        <v>0</v>
      </c>
      <c r="E20" s="303">
        <f t="shared" si="15"/>
        <v>0</v>
      </c>
      <c r="F20" s="303">
        <f t="shared" si="16"/>
        <v>0</v>
      </c>
      <c r="G20" s="303">
        <f t="shared" si="17"/>
        <v>1341657</v>
      </c>
      <c r="H20" s="303">
        <f t="shared" si="18"/>
        <v>2638432</v>
      </c>
      <c r="I20" s="303"/>
      <c r="J20" s="100"/>
      <c r="K20" s="99"/>
      <c r="L20" s="367">
        <f t="shared" ref="L20:W20" si="24">ROUND(K20*(1+$D7),0)</f>
        <v>0</v>
      </c>
      <c r="M20" s="367">
        <f t="shared" si="24"/>
        <v>0</v>
      </c>
      <c r="N20" s="367">
        <f t="shared" si="24"/>
        <v>0</v>
      </c>
      <c r="O20" s="367">
        <f t="shared" si="24"/>
        <v>0</v>
      </c>
      <c r="P20" s="367">
        <f t="shared" si="24"/>
        <v>0</v>
      </c>
      <c r="Q20" s="367">
        <f t="shared" si="24"/>
        <v>0</v>
      </c>
      <c r="R20" s="367">
        <f t="shared" si="24"/>
        <v>0</v>
      </c>
      <c r="S20" s="367">
        <f t="shared" si="24"/>
        <v>0</v>
      </c>
      <c r="T20" s="367">
        <f t="shared" si="24"/>
        <v>0</v>
      </c>
      <c r="U20" s="367">
        <f t="shared" si="24"/>
        <v>0</v>
      </c>
      <c r="V20" s="367">
        <f t="shared" si="24"/>
        <v>0</v>
      </c>
      <c r="W20" s="367">
        <f t="shared" si="24"/>
        <v>0</v>
      </c>
      <c r="X20" s="367">
        <f t="shared" ref="X20:AI20" si="25">ROUND(W20*(1+$E7),0)</f>
        <v>0</v>
      </c>
      <c r="Y20" s="367">
        <f t="shared" si="25"/>
        <v>0</v>
      </c>
      <c r="Z20" s="367">
        <f t="shared" si="25"/>
        <v>0</v>
      </c>
      <c r="AA20" s="367">
        <f t="shared" si="25"/>
        <v>0</v>
      </c>
      <c r="AB20" s="367">
        <f t="shared" si="25"/>
        <v>0</v>
      </c>
      <c r="AC20" s="367">
        <f t="shared" si="25"/>
        <v>0</v>
      </c>
      <c r="AD20" s="367">
        <f t="shared" si="25"/>
        <v>0</v>
      </c>
      <c r="AE20" s="367">
        <f t="shared" si="25"/>
        <v>0</v>
      </c>
      <c r="AF20" s="367">
        <f t="shared" si="25"/>
        <v>0</v>
      </c>
      <c r="AG20" s="367">
        <f t="shared" si="25"/>
        <v>0</v>
      </c>
      <c r="AH20" s="367">
        <f t="shared" si="25"/>
        <v>0</v>
      </c>
      <c r="AI20" s="367">
        <f t="shared" si="25"/>
        <v>0</v>
      </c>
      <c r="AJ20" s="367">
        <f t="shared" ref="AJ20:AU20" si="26">ROUND(AI20*(1+$F7),0)</f>
        <v>0</v>
      </c>
      <c r="AK20" s="367">
        <f t="shared" si="26"/>
        <v>0</v>
      </c>
      <c r="AL20" s="367">
        <f t="shared" si="26"/>
        <v>0</v>
      </c>
      <c r="AM20" s="367">
        <f t="shared" si="26"/>
        <v>0</v>
      </c>
      <c r="AN20" s="367">
        <f t="shared" si="26"/>
        <v>0</v>
      </c>
      <c r="AO20" s="367">
        <f t="shared" si="26"/>
        <v>0</v>
      </c>
      <c r="AP20" s="367">
        <f t="shared" si="26"/>
        <v>0</v>
      </c>
      <c r="AQ20" s="367">
        <f t="shared" si="26"/>
        <v>0</v>
      </c>
      <c r="AR20" s="367">
        <f t="shared" si="26"/>
        <v>0</v>
      </c>
      <c r="AS20" s="367">
        <f t="shared" si="26"/>
        <v>0</v>
      </c>
      <c r="AT20" s="367">
        <f t="shared" si="26"/>
        <v>0</v>
      </c>
      <c r="AU20" s="367">
        <f t="shared" si="26"/>
        <v>0</v>
      </c>
      <c r="AV20" s="368">
        <v>75000</v>
      </c>
      <c r="AW20" s="367">
        <f t="shared" ref="AW20:BG20" si="27">ROUND(AV20*(1+$G7),0)</f>
        <v>80250</v>
      </c>
      <c r="AX20" s="367">
        <f t="shared" si="27"/>
        <v>85868</v>
      </c>
      <c r="AY20" s="367">
        <f t="shared" si="27"/>
        <v>91879</v>
      </c>
      <c r="AZ20" s="367">
        <f t="shared" si="27"/>
        <v>98311</v>
      </c>
      <c r="BA20" s="367">
        <f t="shared" si="27"/>
        <v>105193</v>
      </c>
      <c r="BB20" s="367">
        <f t="shared" si="27"/>
        <v>112557</v>
      </c>
      <c r="BC20" s="367">
        <f t="shared" si="27"/>
        <v>120436</v>
      </c>
      <c r="BD20" s="367">
        <f t="shared" si="27"/>
        <v>128867</v>
      </c>
      <c r="BE20" s="367">
        <f t="shared" si="27"/>
        <v>137888</v>
      </c>
      <c r="BF20" s="367">
        <f t="shared" si="27"/>
        <v>147540</v>
      </c>
      <c r="BG20" s="367">
        <f t="shared" si="27"/>
        <v>157868</v>
      </c>
      <c r="BH20" s="368">
        <f t="shared" ref="BH20:BS20" si="28">ROUND(BG20*(1+$H7),0)</f>
        <v>165761</v>
      </c>
      <c r="BI20" s="367">
        <f t="shared" si="28"/>
        <v>174049</v>
      </c>
      <c r="BJ20" s="367">
        <f t="shared" si="28"/>
        <v>182751</v>
      </c>
      <c r="BK20" s="367">
        <f t="shared" si="28"/>
        <v>191889</v>
      </c>
      <c r="BL20" s="367">
        <f t="shared" si="28"/>
        <v>201483</v>
      </c>
      <c r="BM20" s="367">
        <f t="shared" si="28"/>
        <v>211557</v>
      </c>
      <c r="BN20" s="367">
        <f t="shared" si="28"/>
        <v>222135</v>
      </c>
      <c r="BO20" s="367">
        <f t="shared" si="28"/>
        <v>233242</v>
      </c>
      <c r="BP20" s="367">
        <f t="shared" si="28"/>
        <v>244904</v>
      </c>
      <c r="BQ20" s="367">
        <f t="shared" si="28"/>
        <v>257149</v>
      </c>
      <c r="BR20" s="367">
        <f t="shared" si="28"/>
        <v>270006</v>
      </c>
      <c r="BS20" s="367">
        <f t="shared" si="28"/>
        <v>283506</v>
      </c>
      <c r="BT20" s="301" t="s">
        <v>321</v>
      </c>
    </row>
    <row r="21" spans="1:72">
      <c r="A21" s="96"/>
      <c r="B21" s="69" t="str">
        <f>Assumptions!I13</f>
        <v>PRODUCT 4</v>
      </c>
      <c r="C21" s="98"/>
      <c r="D21" s="303">
        <f t="shared" si="14"/>
        <v>0</v>
      </c>
      <c r="E21" s="303">
        <f t="shared" si="15"/>
        <v>0</v>
      </c>
      <c r="F21" s="303">
        <f t="shared" si="16"/>
        <v>0</v>
      </c>
      <c r="G21" s="303">
        <f t="shared" si="17"/>
        <v>0</v>
      </c>
      <c r="H21" s="303">
        <f t="shared" si="18"/>
        <v>0</v>
      </c>
      <c r="I21" s="303"/>
      <c r="J21" s="100"/>
      <c r="K21" s="99"/>
      <c r="L21" s="367">
        <f t="shared" ref="L21:W21" si="29">ROUND(K21*(1+$D8),0)</f>
        <v>0</v>
      </c>
      <c r="M21" s="367">
        <f t="shared" si="29"/>
        <v>0</v>
      </c>
      <c r="N21" s="367">
        <f t="shared" si="29"/>
        <v>0</v>
      </c>
      <c r="O21" s="367">
        <f t="shared" si="29"/>
        <v>0</v>
      </c>
      <c r="P21" s="367">
        <f t="shared" si="29"/>
        <v>0</v>
      </c>
      <c r="Q21" s="367">
        <f t="shared" si="29"/>
        <v>0</v>
      </c>
      <c r="R21" s="367">
        <f t="shared" si="29"/>
        <v>0</v>
      </c>
      <c r="S21" s="367">
        <f t="shared" si="29"/>
        <v>0</v>
      </c>
      <c r="T21" s="367">
        <f t="shared" si="29"/>
        <v>0</v>
      </c>
      <c r="U21" s="367">
        <f t="shared" si="29"/>
        <v>0</v>
      </c>
      <c r="V21" s="367">
        <f t="shared" si="29"/>
        <v>0</v>
      </c>
      <c r="W21" s="367">
        <f t="shared" si="29"/>
        <v>0</v>
      </c>
      <c r="X21" s="367">
        <f t="shared" ref="X21:AI21" si="30">ROUND(W21*(1+$E8),0)</f>
        <v>0</v>
      </c>
      <c r="Y21" s="367">
        <f t="shared" si="30"/>
        <v>0</v>
      </c>
      <c r="Z21" s="367">
        <f t="shared" si="30"/>
        <v>0</v>
      </c>
      <c r="AA21" s="367">
        <f t="shared" si="30"/>
        <v>0</v>
      </c>
      <c r="AB21" s="367">
        <f t="shared" si="30"/>
        <v>0</v>
      </c>
      <c r="AC21" s="367">
        <f t="shared" si="30"/>
        <v>0</v>
      </c>
      <c r="AD21" s="367">
        <f t="shared" si="30"/>
        <v>0</v>
      </c>
      <c r="AE21" s="367">
        <f t="shared" si="30"/>
        <v>0</v>
      </c>
      <c r="AF21" s="367">
        <f t="shared" si="30"/>
        <v>0</v>
      </c>
      <c r="AG21" s="367">
        <f t="shared" si="30"/>
        <v>0</v>
      </c>
      <c r="AH21" s="367">
        <f t="shared" si="30"/>
        <v>0</v>
      </c>
      <c r="AI21" s="367">
        <f t="shared" si="30"/>
        <v>0</v>
      </c>
      <c r="AJ21" s="367">
        <f t="shared" ref="AJ21:AU21" si="31">ROUND(AI21*(1+$F8),0)</f>
        <v>0</v>
      </c>
      <c r="AK21" s="367">
        <f t="shared" si="31"/>
        <v>0</v>
      </c>
      <c r="AL21" s="367">
        <f t="shared" si="31"/>
        <v>0</v>
      </c>
      <c r="AM21" s="367">
        <f t="shared" si="31"/>
        <v>0</v>
      </c>
      <c r="AN21" s="367">
        <f t="shared" si="31"/>
        <v>0</v>
      </c>
      <c r="AO21" s="367">
        <f t="shared" si="31"/>
        <v>0</v>
      </c>
      <c r="AP21" s="367">
        <f t="shared" si="31"/>
        <v>0</v>
      </c>
      <c r="AQ21" s="367">
        <f t="shared" si="31"/>
        <v>0</v>
      </c>
      <c r="AR21" s="367">
        <f t="shared" si="31"/>
        <v>0</v>
      </c>
      <c r="AS21" s="367">
        <f t="shared" si="31"/>
        <v>0</v>
      </c>
      <c r="AT21" s="367">
        <f t="shared" si="31"/>
        <v>0</v>
      </c>
      <c r="AU21" s="367">
        <f t="shared" si="31"/>
        <v>0</v>
      </c>
      <c r="AV21" s="367">
        <f t="shared" ref="AV21:BG21" si="32">ROUND(AU21*(1+$G8),0)</f>
        <v>0</v>
      </c>
      <c r="AW21" s="367">
        <f t="shared" si="32"/>
        <v>0</v>
      </c>
      <c r="AX21" s="367">
        <f t="shared" si="32"/>
        <v>0</v>
      </c>
      <c r="AY21" s="367">
        <f t="shared" si="32"/>
        <v>0</v>
      </c>
      <c r="AZ21" s="367">
        <f t="shared" si="32"/>
        <v>0</v>
      </c>
      <c r="BA21" s="367">
        <f t="shared" si="32"/>
        <v>0</v>
      </c>
      <c r="BB21" s="367">
        <f t="shared" si="32"/>
        <v>0</v>
      </c>
      <c r="BC21" s="367">
        <f t="shared" si="32"/>
        <v>0</v>
      </c>
      <c r="BD21" s="367">
        <f t="shared" si="32"/>
        <v>0</v>
      </c>
      <c r="BE21" s="367">
        <f t="shared" si="32"/>
        <v>0</v>
      </c>
      <c r="BF21" s="367">
        <f t="shared" si="32"/>
        <v>0</v>
      </c>
      <c r="BG21" s="367">
        <f t="shared" si="32"/>
        <v>0</v>
      </c>
      <c r="BH21" s="367">
        <f t="shared" ref="BH21:BS21" si="33">ROUND(BG21*(1+$H8),0)</f>
        <v>0</v>
      </c>
      <c r="BI21" s="367">
        <f t="shared" si="33"/>
        <v>0</v>
      </c>
      <c r="BJ21" s="367">
        <f t="shared" si="33"/>
        <v>0</v>
      </c>
      <c r="BK21" s="367">
        <f t="shared" si="33"/>
        <v>0</v>
      </c>
      <c r="BL21" s="367">
        <f t="shared" si="33"/>
        <v>0</v>
      </c>
      <c r="BM21" s="367">
        <f t="shared" si="33"/>
        <v>0</v>
      </c>
      <c r="BN21" s="367">
        <f t="shared" si="33"/>
        <v>0</v>
      </c>
      <c r="BO21" s="367">
        <f t="shared" si="33"/>
        <v>0</v>
      </c>
      <c r="BP21" s="367">
        <f t="shared" si="33"/>
        <v>0</v>
      </c>
      <c r="BQ21" s="367">
        <f t="shared" si="33"/>
        <v>0</v>
      </c>
      <c r="BR21" s="367">
        <f t="shared" si="33"/>
        <v>0</v>
      </c>
      <c r="BS21" s="367">
        <f t="shared" si="33"/>
        <v>0</v>
      </c>
      <c r="BT21" s="301" t="s">
        <v>321</v>
      </c>
    </row>
    <row r="22" spans="1:72">
      <c r="A22" s="96"/>
      <c r="B22" s="69" t="str">
        <f>Assumptions!I14</f>
        <v>PRODUCT 5</v>
      </c>
      <c r="C22" s="98"/>
      <c r="D22" s="303">
        <f t="shared" si="14"/>
        <v>0</v>
      </c>
      <c r="E22" s="303">
        <f t="shared" si="15"/>
        <v>0</v>
      </c>
      <c r="F22" s="303">
        <f t="shared" si="16"/>
        <v>0</v>
      </c>
      <c r="G22" s="303">
        <f t="shared" si="17"/>
        <v>0</v>
      </c>
      <c r="H22" s="303">
        <f t="shared" si="18"/>
        <v>0</v>
      </c>
      <c r="I22" s="303"/>
      <c r="J22" s="100"/>
      <c r="K22" s="99"/>
      <c r="L22" s="367">
        <f t="shared" ref="L22:W22" si="34">ROUND(K22*(1+$D9),0)</f>
        <v>0</v>
      </c>
      <c r="M22" s="367">
        <f t="shared" si="34"/>
        <v>0</v>
      </c>
      <c r="N22" s="367">
        <f t="shared" si="34"/>
        <v>0</v>
      </c>
      <c r="O22" s="367">
        <f t="shared" si="34"/>
        <v>0</v>
      </c>
      <c r="P22" s="367">
        <f t="shared" si="34"/>
        <v>0</v>
      </c>
      <c r="Q22" s="367">
        <f t="shared" si="34"/>
        <v>0</v>
      </c>
      <c r="R22" s="367">
        <f t="shared" si="34"/>
        <v>0</v>
      </c>
      <c r="S22" s="367">
        <f t="shared" si="34"/>
        <v>0</v>
      </c>
      <c r="T22" s="367">
        <f t="shared" si="34"/>
        <v>0</v>
      </c>
      <c r="U22" s="367">
        <f t="shared" si="34"/>
        <v>0</v>
      </c>
      <c r="V22" s="367">
        <f t="shared" si="34"/>
        <v>0</v>
      </c>
      <c r="W22" s="367">
        <f t="shared" si="34"/>
        <v>0</v>
      </c>
      <c r="X22" s="367">
        <f t="shared" ref="X22:AI22" si="35">ROUND(W22*(1+$E9),0)</f>
        <v>0</v>
      </c>
      <c r="Y22" s="367">
        <f t="shared" si="35"/>
        <v>0</v>
      </c>
      <c r="Z22" s="367">
        <f t="shared" si="35"/>
        <v>0</v>
      </c>
      <c r="AA22" s="367">
        <f t="shared" si="35"/>
        <v>0</v>
      </c>
      <c r="AB22" s="367">
        <f t="shared" si="35"/>
        <v>0</v>
      </c>
      <c r="AC22" s="367">
        <f t="shared" si="35"/>
        <v>0</v>
      </c>
      <c r="AD22" s="367">
        <f t="shared" si="35"/>
        <v>0</v>
      </c>
      <c r="AE22" s="367">
        <f t="shared" si="35"/>
        <v>0</v>
      </c>
      <c r="AF22" s="367">
        <f t="shared" si="35"/>
        <v>0</v>
      </c>
      <c r="AG22" s="367">
        <f t="shared" si="35"/>
        <v>0</v>
      </c>
      <c r="AH22" s="367">
        <f t="shared" si="35"/>
        <v>0</v>
      </c>
      <c r="AI22" s="367">
        <f t="shared" si="35"/>
        <v>0</v>
      </c>
      <c r="AJ22" s="367">
        <f t="shared" ref="AJ22:AU22" si="36">ROUND(AI22*(1+$F9),0)</f>
        <v>0</v>
      </c>
      <c r="AK22" s="367">
        <f t="shared" si="36"/>
        <v>0</v>
      </c>
      <c r="AL22" s="367">
        <f t="shared" si="36"/>
        <v>0</v>
      </c>
      <c r="AM22" s="367">
        <f t="shared" si="36"/>
        <v>0</v>
      </c>
      <c r="AN22" s="367">
        <f t="shared" si="36"/>
        <v>0</v>
      </c>
      <c r="AO22" s="367">
        <f t="shared" si="36"/>
        <v>0</v>
      </c>
      <c r="AP22" s="367">
        <f t="shared" si="36"/>
        <v>0</v>
      </c>
      <c r="AQ22" s="367">
        <f t="shared" si="36"/>
        <v>0</v>
      </c>
      <c r="AR22" s="367">
        <f t="shared" si="36"/>
        <v>0</v>
      </c>
      <c r="AS22" s="367">
        <f t="shared" si="36"/>
        <v>0</v>
      </c>
      <c r="AT22" s="367">
        <f t="shared" si="36"/>
        <v>0</v>
      </c>
      <c r="AU22" s="367">
        <f t="shared" si="36"/>
        <v>0</v>
      </c>
      <c r="AV22" s="367">
        <f t="shared" ref="AV22:BG22" si="37">ROUND(AU22*(1+$G9),0)</f>
        <v>0</v>
      </c>
      <c r="AW22" s="367">
        <f t="shared" si="37"/>
        <v>0</v>
      </c>
      <c r="AX22" s="367">
        <f t="shared" si="37"/>
        <v>0</v>
      </c>
      <c r="AY22" s="367">
        <f t="shared" si="37"/>
        <v>0</v>
      </c>
      <c r="AZ22" s="367">
        <f t="shared" si="37"/>
        <v>0</v>
      </c>
      <c r="BA22" s="367">
        <f t="shared" si="37"/>
        <v>0</v>
      </c>
      <c r="BB22" s="367">
        <f t="shared" si="37"/>
        <v>0</v>
      </c>
      <c r="BC22" s="367">
        <f t="shared" si="37"/>
        <v>0</v>
      </c>
      <c r="BD22" s="367">
        <f t="shared" si="37"/>
        <v>0</v>
      </c>
      <c r="BE22" s="367">
        <f t="shared" si="37"/>
        <v>0</v>
      </c>
      <c r="BF22" s="367">
        <f t="shared" si="37"/>
        <v>0</v>
      </c>
      <c r="BG22" s="367">
        <f t="shared" si="37"/>
        <v>0</v>
      </c>
      <c r="BH22" s="367">
        <f t="shared" ref="BH22:BS22" si="38">ROUND(BG22*(1+$H9),0)</f>
        <v>0</v>
      </c>
      <c r="BI22" s="367">
        <f t="shared" si="38"/>
        <v>0</v>
      </c>
      <c r="BJ22" s="367">
        <f t="shared" si="38"/>
        <v>0</v>
      </c>
      <c r="BK22" s="367">
        <f t="shared" si="38"/>
        <v>0</v>
      </c>
      <c r="BL22" s="367">
        <f t="shared" si="38"/>
        <v>0</v>
      </c>
      <c r="BM22" s="367">
        <f t="shared" si="38"/>
        <v>0</v>
      </c>
      <c r="BN22" s="367">
        <f t="shared" si="38"/>
        <v>0</v>
      </c>
      <c r="BO22" s="367">
        <f t="shared" si="38"/>
        <v>0</v>
      </c>
      <c r="BP22" s="367">
        <f t="shared" si="38"/>
        <v>0</v>
      </c>
      <c r="BQ22" s="367">
        <f t="shared" si="38"/>
        <v>0</v>
      </c>
      <c r="BR22" s="367">
        <f t="shared" si="38"/>
        <v>0</v>
      </c>
      <c r="BS22" s="367">
        <f t="shared" si="38"/>
        <v>0</v>
      </c>
      <c r="BT22" s="301" t="s">
        <v>321</v>
      </c>
    </row>
    <row r="23" spans="1:72">
      <c r="A23" s="83" t="s">
        <v>240</v>
      </c>
      <c r="B23" s="102"/>
      <c r="C23" s="85"/>
      <c r="D23" s="103">
        <f>SUM(K23:W23)</f>
        <v>352500</v>
      </c>
      <c r="E23" s="103">
        <f>SUM(X23:AH23)</f>
        <v>3393114</v>
      </c>
      <c r="F23" s="103">
        <f>SUM(F18:F22)</f>
        <v>10083390</v>
      </c>
      <c r="G23" s="103">
        <f>SUM(G18:G22)</f>
        <v>14622429</v>
      </c>
      <c r="H23" s="103">
        <f>SUM(H18:H22)</f>
        <v>19419027</v>
      </c>
      <c r="I23" s="103"/>
      <c r="J23" s="104"/>
      <c r="K23" s="103"/>
      <c r="L23" s="103">
        <f t="shared" ref="L23:V23" si="39">SUM(L18:L22)</f>
        <v>0</v>
      </c>
      <c r="M23" s="103">
        <f t="shared" si="39"/>
        <v>0</v>
      </c>
      <c r="N23" s="103">
        <f t="shared" si="39"/>
        <v>0</v>
      </c>
      <c r="O23" s="103">
        <f t="shared" si="39"/>
        <v>5000</v>
      </c>
      <c r="P23" s="103">
        <f t="shared" si="39"/>
        <v>7500</v>
      </c>
      <c r="Q23" s="103">
        <f t="shared" si="39"/>
        <v>10000</v>
      </c>
      <c r="R23" s="103">
        <f t="shared" si="39"/>
        <v>12500</v>
      </c>
      <c r="S23" s="103">
        <f t="shared" si="39"/>
        <v>40000</v>
      </c>
      <c r="T23" s="103">
        <f t="shared" si="39"/>
        <v>42500</v>
      </c>
      <c r="U23" s="103">
        <f t="shared" si="39"/>
        <v>45000</v>
      </c>
      <c r="V23" s="103">
        <f t="shared" si="39"/>
        <v>90000</v>
      </c>
      <c r="W23" s="103">
        <f>SUM(W18:W22)</f>
        <v>100000</v>
      </c>
      <c r="X23" s="103">
        <f t="shared" ref="X23:AH23" si="40">SUM(X18:X22)</f>
        <v>118000</v>
      </c>
      <c r="Y23" s="103">
        <f t="shared" si="40"/>
        <v>139240</v>
      </c>
      <c r="Z23" s="103">
        <f t="shared" si="40"/>
        <v>164303</v>
      </c>
      <c r="AA23" s="103">
        <f t="shared" si="40"/>
        <v>193878</v>
      </c>
      <c r="AB23" s="103">
        <f t="shared" si="40"/>
        <v>228776</v>
      </c>
      <c r="AC23" s="103">
        <f t="shared" si="40"/>
        <v>269956</v>
      </c>
      <c r="AD23" s="103">
        <f t="shared" si="40"/>
        <v>318548</v>
      </c>
      <c r="AE23" s="103">
        <f t="shared" si="40"/>
        <v>375887</v>
      </c>
      <c r="AF23" s="103">
        <f t="shared" si="40"/>
        <v>443547</v>
      </c>
      <c r="AG23" s="103">
        <f t="shared" si="40"/>
        <v>523385</v>
      </c>
      <c r="AH23" s="103">
        <f t="shared" si="40"/>
        <v>617594</v>
      </c>
      <c r="AI23" s="103">
        <f t="shared" ref="AI23:BS23" si="41">SUM(AI18:AI22)</f>
        <v>728761</v>
      </c>
      <c r="AJ23" s="103">
        <f t="shared" si="41"/>
        <v>771049</v>
      </c>
      <c r="AK23" s="103">
        <f t="shared" si="41"/>
        <v>781909</v>
      </c>
      <c r="AL23" s="103">
        <f t="shared" si="41"/>
        <v>793193</v>
      </c>
      <c r="AM23" s="103">
        <f t="shared" si="41"/>
        <v>804936</v>
      </c>
      <c r="AN23" s="103">
        <f t="shared" si="41"/>
        <v>817179</v>
      </c>
      <c r="AO23" s="103">
        <f t="shared" si="41"/>
        <v>829962</v>
      </c>
      <c r="AP23" s="103">
        <f t="shared" si="41"/>
        <v>843335</v>
      </c>
      <c r="AQ23" s="103">
        <f t="shared" si="41"/>
        <v>857349</v>
      </c>
      <c r="AR23" s="103">
        <f t="shared" si="41"/>
        <v>872061</v>
      </c>
      <c r="AS23" s="103">
        <f t="shared" si="41"/>
        <v>887534</v>
      </c>
      <c r="AT23" s="103">
        <f t="shared" si="41"/>
        <v>903837</v>
      </c>
      <c r="AU23" s="103">
        <f t="shared" si="41"/>
        <v>921046</v>
      </c>
      <c r="AV23" s="103">
        <f t="shared" si="41"/>
        <v>1020459</v>
      </c>
      <c r="AW23" s="103">
        <f t="shared" si="41"/>
        <v>1051089</v>
      </c>
      <c r="AX23" s="103">
        <f t="shared" si="41"/>
        <v>1083112</v>
      </c>
      <c r="AY23" s="103">
        <f t="shared" si="41"/>
        <v>1116616</v>
      </c>
      <c r="AZ23" s="103">
        <f t="shared" si="41"/>
        <v>1151695</v>
      </c>
      <c r="BA23" s="103">
        <f t="shared" si="41"/>
        <v>1188448</v>
      </c>
      <c r="BB23" s="103">
        <f t="shared" si="41"/>
        <v>1226985</v>
      </c>
      <c r="BC23" s="103">
        <f t="shared" si="41"/>
        <v>1267422</v>
      </c>
      <c r="BD23" s="103">
        <f t="shared" si="41"/>
        <v>1309883</v>
      </c>
      <c r="BE23" s="103">
        <f t="shared" si="41"/>
        <v>1354502</v>
      </c>
      <c r="BF23" s="103">
        <f t="shared" si="41"/>
        <v>1401421</v>
      </c>
      <c r="BG23" s="103">
        <f t="shared" si="41"/>
        <v>1450797</v>
      </c>
      <c r="BH23" s="103">
        <f t="shared" si="41"/>
        <v>1474134</v>
      </c>
      <c r="BI23" s="103">
        <f t="shared" si="41"/>
        <v>1498071</v>
      </c>
      <c r="BJ23" s="103">
        <f t="shared" si="41"/>
        <v>1522630</v>
      </c>
      <c r="BK23" s="103">
        <f t="shared" si="41"/>
        <v>1547835</v>
      </c>
      <c r="BL23" s="103">
        <f t="shared" si="41"/>
        <v>1573711</v>
      </c>
      <c r="BM23" s="103">
        <f t="shared" si="41"/>
        <v>1600284</v>
      </c>
      <c r="BN23" s="103">
        <f t="shared" si="41"/>
        <v>1627581</v>
      </c>
      <c r="BO23" s="103">
        <f t="shared" si="41"/>
        <v>1655631</v>
      </c>
      <c r="BP23" s="103">
        <f t="shared" si="41"/>
        <v>1684464</v>
      </c>
      <c r="BQ23" s="103">
        <f t="shared" si="41"/>
        <v>1714110</v>
      </c>
      <c r="BR23" s="103">
        <f t="shared" si="41"/>
        <v>1744602</v>
      </c>
      <c r="BS23" s="103">
        <f t="shared" si="41"/>
        <v>1775974</v>
      </c>
      <c r="BT23" s="301" t="s">
        <v>321</v>
      </c>
    </row>
    <row r="24" spans="1:72">
      <c r="A24" s="96"/>
      <c r="B24" s="97"/>
      <c r="C24" s="98"/>
      <c r="D24" s="100"/>
      <c r="E24" s="126">
        <f>E23/D23-1</f>
        <v>8.6258553191489362</v>
      </c>
      <c r="F24" s="126">
        <f t="shared" ref="F24:H24" si="42">F23/E23-1</f>
        <v>1.9717215513537121</v>
      </c>
      <c r="G24" s="126">
        <f t="shared" si="42"/>
        <v>0.45015009833002595</v>
      </c>
      <c r="H24" s="126">
        <f t="shared" si="42"/>
        <v>0.32803017884374741</v>
      </c>
      <c r="I24" s="100"/>
      <c r="J24" s="100"/>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301" t="s">
        <v>321</v>
      </c>
    </row>
    <row r="25" spans="1:72">
      <c r="A25" s="96" t="s">
        <v>345</v>
      </c>
      <c r="B25" s="97"/>
      <c r="C25" s="98"/>
      <c r="D25" s="100"/>
      <c r="E25" s="100"/>
      <c r="F25" s="100"/>
      <c r="G25" s="100"/>
      <c r="H25" s="100"/>
      <c r="I25" s="100"/>
      <c r="J25" s="100"/>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192"/>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301" t="s">
        <v>321</v>
      </c>
    </row>
    <row r="26" spans="1:72" s="155" customFormat="1">
      <c r="A26" s="150"/>
      <c r="B26" s="151" t="str">
        <f>B18</f>
        <v>PEP Straw 1</v>
      </c>
      <c r="C26" s="152"/>
      <c r="D26" s="303">
        <f>AVERAGE(K26:W26)</f>
        <v>0.43022564043209877</v>
      </c>
      <c r="E26" s="303">
        <f>AVERAGE(X26:AI26)</f>
        <v>0.44297345301783264</v>
      </c>
      <c r="F26" s="303">
        <f>AVERAGE(AJ26:AU26)</f>
        <v>0.35551775720164608</v>
      </c>
      <c r="G26" s="303">
        <f>AVERAGE(AV26:BG26)</f>
        <v>0.35551775720164608</v>
      </c>
      <c r="H26" s="303">
        <f>AVERAGE(BH26:BS26)</f>
        <v>0.35551775720164608</v>
      </c>
      <c r="I26" s="303"/>
      <c r="J26" s="100"/>
      <c r="K26" s="99"/>
      <c r="L26" s="369">
        <f>IF(L$23=0,0,IF(L$23&lt;PROD!$H$10,PROD!$G$20,IF(L$23&lt;PROD!$I$10,PROD!$H$20,IF(L$23&lt;PROD!$J$10,PROD!$I$20,PROD!$J$20))))</f>
        <v>0</v>
      </c>
      <c r="M26" s="369">
        <f>IF(M$23=0,0,IF(M$23&lt;PROD!$H$10,PROD!$G$20,IF(M$23&lt;PROD!$I$10,PROD!$H$20,IF(M$23&lt;PROD!$J$10,PROD!$I$20,PROD!$J$20))))</f>
        <v>0</v>
      </c>
      <c r="N26" s="369">
        <f>IF(N$23=0,0,IF(N$23&lt;PROD!$H$10,PROD!$G$20,IF(N$23&lt;PROD!$I$10,PROD!$H$20,IF(N$23&lt;PROD!$J$10,PROD!$I$20,PROD!$J$20))))</f>
        <v>0</v>
      </c>
      <c r="O26" s="369">
        <f>IF(O$23=0,0,IF(O$23&lt;PROD!$H$10,PROD!$G$20,IF(O$23&lt;PROD!$I$10,PROD!$H$20,IF(O$23&lt;PROD!$J$10,PROD!$I$20,PROD!$J$20))))</f>
        <v>0.57363418724279835</v>
      </c>
      <c r="P26" s="369">
        <f>IF(P$23=0,0,IF(P$23&lt;PROD!$H$10,PROD!$G$20,IF(P$23&lt;PROD!$I$10,PROD!$H$20,IF(P$23&lt;PROD!$J$10,PROD!$I$20,PROD!$J$20))))</f>
        <v>0.57363418724279835</v>
      </c>
      <c r="Q26" s="369">
        <f>IF(Q$23=0,0,IF(Q$23&lt;PROD!$H$10,PROD!$G$20,IF(Q$23&lt;PROD!$I$10,PROD!$H$20,IF(Q$23&lt;PROD!$J$10,PROD!$I$20,PROD!$J$20))))</f>
        <v>0.57363418724279835</v>
      </c>
      <c r="R26" s="369">
        <f>IF(R$23=0,0,IF(R$23&lt;PROD!$H$10,PROD!$G$20,IF(R$23&lt;PROD!$I$10,PROD!$H$20,IF(R$23&lt;PROD!$J$10,PROD!$I$20,PROD!$J$20))))</f>
        <v>0.57363418724279835</v>
      </c>
      <c r="S26" s="369">
        <f>IF(S$23=0,0,IF(S$23&lt;PROD!$H$10,PROD!$G$20,IF(S$23&lt;PROD!$I$10,PROD!$H$20,IF(S$23&lt;PROD!$J$10,PROD!$I$20,PROD!$J$20))))</f>
        <v>0.57363418724279835</v>
      </c>
      <c r="T26" s="369">
        <f>IF(T$23=0,0,IF(T$23&lt;PROD!$H$10,PROD!$G$20,IF(T$23&lt;PROD!$I$10,PROD!$H$20,IF(T$23&lt;PROD!$J$10,PROD!$I$20,PROD!$J$20))))</f>
        <v>0.57363418724279835</v>
      </c>
      <c r="U26" s="369">
        <f>IF(U$23=0,0,IF(U$23&lt;PROD!$H$10,PROD!$G$20,IF(U$23&lt;PROD!$I$10,PROD!$H$20,IF(U$23&lt;PROD!$J$10,PROD!$I$20,PROD!$J$20))))</f>
        <v>0.57363418724279835</v>
      </c>
      <c r="V26" s="369">
        <f>IF(V$23=0,0,IF(V$23&lt;PROD!$H$10,PROD!$G$20,IF(V$23&lt;PROD!$I$10,PROD!$H$20,IF(V$23&lt;PROD!$J$10,PROD!$I$20,PROD!$J$20))))</f>
        <v>0.57363418724279835</v>
      </c>
      <c r="W26" s="369">
        <f>IF(W$23=0,0,IF(W$23&lt;PROD!$H$10,PROD!$G$20,IF(W$23&lt;PROD!$I$10,PROD!$H$20,IF(W$23&lt;PROD!$J$10,PROD!$I$20,PROD!$J$20))))</f>
        <v>0.57363418724279835</v>
      </c>
      <c r="X26" s="369">
        <f>IF(X$23=0,0,IF(X$23&lt;PROD!$H$10,PROD!$G$20,IF(X$23&lt;PROD!$I$10,PROD!$H$20,IF(X$23&lt;PROD!$J$10,PROD!$I$20,PROD!$J$20))))</f>
        <v>0.57363418724279835</v>
      </c>
      <c r="Y26" s="369">
        <f>IF(Y$23=0,0,IF(Y$23&lt;PROD!$H$10,PROD!$G$20,IF(Y$23&lt;PROD!$I$10,PROD!$H$20,IF(Y$23&lt;PROD!$J$10,PROD!$I$20,PROD!$J$20))))</f>
        <v>0.57363418724279835</v>
      </c>
      <c r="Z26" s="369">
        <f>IF(Z$23=0,0,IF(Z$23&lt;PROD!$H$10,PROD!$G$20,IF(Z$23&lt;PROD!$I$10,PROD!$H$20,IF(Z$23&lt;PROD!$J$10,PROD!$I$20,PROD!$J$20))))</f>
        <v>0.46282470370370371</v>
      </c>
      <c r="AA26" s="369">
        <f>IF(AA$23=0,0,IF(AA$23&lt;PROD!$H$10,PROD!$G$20,IF(AA$23&lt;PROD!$I$10,PROD!$H$20,IF(AA$23&lt;PROD!$J$10,PROD!$I$20,PROD!$J$20))))</f>
        <v>0.46282470370370371</v>
      </c>
      <c r="AB26" s="369">
        <f>IF(AB$23=0,0,IF(AB$23&lt;PROD!$H$10,PROD!$G$20,IF(AB$23&lt;PROD!$I$10,PROD!$H$20,IF(AB$23&lt;PROD!$J$10,PROD!$I$20,PROD!$J$20))))</f>
        <v>0.46282470370370371</v>
      </c>
      <c r="AC26" s="369">
        <f>IF(AC$23=0,0,IF(AC$23&lt;PROD!$H$10,PROD!$G$20,IF(AC$23&lt;PROD!$I$10,PROD!$H$20,IF(AC$23&lt;PROD!$J$10,PROD!$I$20,PROD!$J$20))))</f>
        <v>0.46282470370370371</v>
      </c>
      <c r="AD26" s="369">
        <f>IF(AD$23=0,0,IF(AD$23&lt;PROD!$H$10,PROD!$G$20,IF(AD$23&lt;PROD!$I$10,PROD!$H$20,IF(AD$23&lt;PROD!$J$10,PROD!$I$20,PROD!$J$20))))</f>
        <v>0.46282470370370371</v>
      </c>
      <c r="AE26" s="369">
        <f>IF(AE$23=0,0,IF(AE$23&lt;PROD!$H$10,PROD!$G$20,IF(AE$23&lt;PROD!$I$10,PROD!$H$20,IF(AE$23&lt;PROD!$J$10,PROD!$I$20,PROD!$J$20))))</f>
        <v>0.3938681358024691</v>
      </c>
      <c r="AF26" s="369">
        <f>IF(AF$23=0,0,IF(AF$23&lt;PROD!$H$10,PROD!$G$20,IF(AF$23&lt;PROD!$I$10,PROD!$H$20,IF(AF$23&lt;PROD!$J$10,PROD!$I$20,PROD!$J$20))))</f>
        <v>0.3938681358024691</v>
      </c>
      <c r="AG26" s="369">
        <f>IF(AG$23=0,0,IF(AG$23&lt;PROD!$H$10,PROD!$G$20,IF(AG$23&lt;PROD!$I$10,PROD!$H$20,IF(AG$23&lt;PROD!$J$10,PROD!$I$20,PROD!$J$20))))</f>
        <v>0.35551775720164608</v>
      </c>
      <c r="AH26" s="369">
        <f>IF(AH$23=0,0,IF(AH$23&lt;PROD!$H$10,PROD!$G$20,IF(AH$23&lt;PROD!$I$10,PROD!$H$20,IF(AH$23&lt;PROD!$J$10,PROD!$I$20,PROD!$J$20))))</f>
        <v>0.35551775720164608</v>
      </c>
      <c r="AI26" s="369">
        <f>IF(AI$23=0,0,IF(AI$23&lt;PROD!$H$10,PROD!$G$20,IF(AI$23&lt;PROD!$I$10,PROD!$H$20,IF(AI$23&lt;PROD!$J$10,PROD!$I$20,PROD!$J$20))))</f>
        <v>0.35551775720164608</v>
      </c>
      <c r="AJ26" s="369">
        <f>IF(AJ$23=0,0,IF(AJ$23&lt;PROD!$H$10,PROD!$G$20,IF(AJ$23&lt;PROD!$I$10,PROD!$H$20,IF(AJ$23&lt;PROD!$J$10,PROD!$I$20,PROD!$J$20))))</f>
        <v>0.35551775720164608</v>
      </c>
      <c r="AK26" s="369">
        <f>IF(AK$23=0,0,IF(AK$23&lt;PROD!$H$10,PROD!$G$20,IF(AK$23&lt;PROD!$I$10,PROD!$H$20,IF(AK$23&lt;PROD!$J$10,PROD!$I$20,PROD!$J$20))))</f>
        <v>0.35551775720164608</v>
      </c>
      <c r="AL26" s="369">
        <f>IF(AL$23=0,0,IF(AL$23&lt;PROD!$H$10,PROD!$G$20,IF(AL$23&lt;PROD!$I$10,PROD!$H$20,IF(AL$23&lt;PROD!$J$10,PROD!$I$20,PROD!$J$20))))</f>
        <v>0.35551775720164608</v>
      </c>
      <c r="AM26" s="369">
        <f>IF(AM$23=0,0,IF(AM$23&lt;PROD!$H$10,PROD!$G$20,IF(AM$23&lt;PROD!$I$10,PROD!$H$20,IF(AM$23&lt;PROD!$J$10,PROD!$I$20,PROD!$J$20))))</f>
        <v>0.35551775720164608</v>
      </c>
      <c r="AN26" s="369">
        <f>IF(AN$23=0,0,IF(AN$23&lt;PROD!$H$10,PROD!$G$20,IF(AN$23&lt;PROD!$I$10,PROD!$H$20,IF(AN$23&lt;PROD!$J$10,PROD!$I$20,PROD!$J$20))))</f>
        <v>0.35551775720164608</v>
      </c>
      <c r="AO26" s="369">
        <f>IF(AO$23=0,0,IF(AO$23&lt;PROD!$H$10,PROD!$G$20,IF(AO$23&lt;PROD!$I$10,PROD!$H$20,IF(AO$23&lt;PROD!$J$10,PROD!$I$20,PROD!$J$20))))</f>
        <v>0.35551775720164608</v>
      </c>
      <c r="AP26" s="369">
        <f>IF(AP$23=0,0,IF(AP$23&lt;PROD!$H$10,PROD!$G$20,IF(AP$23&lt;PROD!$I$10,PROD!$H$20,IF(AP$23&lt;PROD!$J$10,PROD!$I$20,PROD!$J$20))))</f>
        <v>0.35551775720164608</v>
      </c>
      <c r="AQ26" s="369">
        <f>IF(AQ$23=0,0,IF(AQ$23&lt;PROD!$H$10,PROD!$G$20,IF(AQ$23&lt;PROD!$I$10,PROD!$H$20,IF(AQ$23&lt;PROD!$J$10,PROD!$I$20,PROD!$J$20))))</f>
        <v>0.35551775720164608</v>
      </c>
      <c r="AR26" s="369">
        <f>IF(AR$23=0,0,IF(AR$23&lt;PROD!$H$10,PROD!$G$20,IF(AR$23&lt;PROD!$I$10,PROD!$H$20,IF(AR$23&lt;PROD!$J$10,PROD!$I$20,PROD!$J$20))))</f>
        <v>0.35551775720164608</v>
      </c>
      <c r="AS26" s="369">
        <f>IF(AS$23=0,0,IF(AS$23&lt;PROD!$H$10,PROD!$G$20,IF(AS$23&lt;PROD!$I$10,PROD!$H$20,IF(AS$23&lt;PROD!$J$10,PROD!$I$20,PROD!$J$20))))</f>
        <v>0.35551775720164608</v>
      </c>
      <c r="AT26" s="369">
        <f>IF(AT$23=0,0,IF(AT$23&lt;PROD!$H$10,PROD!$G$20,IF(AT$23&lt;PROD!$I$10,PROD!$H$20,IF(AT$23&lt;PROD!$J$10,PROD!$I$20,PROD!$J$20))))</f>
        <v>0.35551775720164608</v>
      </c>
      <c r="AU26" s="369">
        <f>IF(AU$23=0,0,IF(AU$23&lt;PROD!$H$10,PROD!$G$20,IF(AU$23&lt;PROD!$I$10,PROD!$H$20,IF(AU$23&lt;PROD!$J$10,PROD!$I$20,PROD!$J$20))))</f>
        <v>0.35551775720164608</v>
      </c>
      <c r="AV26" s="369">
        <f>IF(AV$23=0,0,IF(AV$23&lt;PROD!$H$10,PROD!$G$20,IF(AV$23&lt;PROD!$I$10,PROD!$H$20,IF(AV$23&lt;PROD!$J$10,PROD!$I$20,PROD!$J$20))))</f>
        <v>0.35551775720164608</v>
      </c>
      <c r="AW26" s="369">
        <f>IF(AW$23=0,0,IF(AW$23&lt;PROD!$H$10,PROD!$G$20,IF(AW$23&lt;PROD!$I$10,PROD!$H$20,IF(AW$23&lt;PROD!$J$10,PROD!$I$20,PROD!$J$20))))</f>
        <v>0.35551775720164608</v>
      </c>
      <c r="AX26" s="369">
        <f>IF(AX$23=0,0,IF(AX$23&lt;PROD!$H$10,PROD!$G$20,IF(AX$23&lt;PROD!$I$10,PROD!$H$20,IF(AX$23&lt;PROD!$J$10,PROD!$I$20,PROD!$J$20))))</f>
        <v>0.35551775720164608</v>
      </c>
      <c r="AY26" s="369">
        <f>IF(AY$23=0,0,IF(AY$23&lt;PROD!$H$10,PROD!$G$20,IF(AY$23&lt;PROD!$I$10,PROD!$H$20,IF(AY$23&lt;PROD!$J$10,PROD!$I$20,PROD!$J$20))))</f>
        <v>0.35551775720164608</v>
      </c>
      <c r="AZ26" s="369">
        <f>IF(AZ$23=0,0,IF(AZ$23&lt;PROD!$H$10,PROD!$G$20,IF(AZ$23&lt;PROD!$I$10,PROD!$H$20,IF(AZ$23&lt;PROD!$J$10,PROD!$I$20,PROD!$J$20))))</f>
        <v>0.35551775720164608</v>
      </c>
      <c r="BA26" s="369">
        <f>IF(BA$23=0,0,IF(BA$23&lt;PROD!$H$10,PROD!$G$20,IF(BA$23&lt;PROD!$I$10,PROD!$H$20,IF(BA$23&lt;PROD!$J$10,PROD!$I$20,PROD!$J$20))))</f>
        <v>0.35551775720164608</v>
      </c>
      <c r="BB26" s="369">
        <f>IF(BB$23=0,0,IF(BB$23&lt;PROD!$H$10,PROD!$G$20,IF(BB$23&lt;PROD!$I$10,PROD!$H$20,IF(BB$23&lt;PROD!$J$10,PROD!$I$20,PROD!$J$20))))</f>
        <v>0.35551775720164608</v>
      </c>
      <c r="BC26" s="369">
        <f>IF(BC$23=0,0,IF(BC$23&lt;PROD!$H$10,PROD!$G$20,IF(BC$23&lt;PROD!$I$10,PROD!$H$20,IF(BC$23&lt;PROD!$J$10,PROD!$I$20,PROD!$J$20))))</f>
        <v>0.35551775720164608</v>
      </c>
      <c r="BD26" s="369">
        <f>IF(BD$23=0,0,IF(BD$23&lt;PROD!$H$10,PROD!$G$20,IF(BD$23&lt;PROD!$I$10,PROD!$H$20,IF(BD$23&lt;PROD!$J$10,PROD!$I$20,PROD!$J$20))))</f>
        <v>0.35551775720164608</v>
      </c>
      <c r="BE26" s="369">
        <f>IF(BE$23=0,0,IF(BE$23&lt;PROD!$H$10,PROD!$G$20,IF(BE$23&lt;PROD!$I$10,PROD!$H$20,IF(BE$23&lt;PROD!$J$10,PROD!$I$20,PROD!$J$20))))</f>
        <v>0.35551775720164608</v>
      </c>
      <c r="BF26" s="369">
        <f>IF(BF$23=0,0,IF(BF$23&lt;PROD!$H$10,PROD!$G$20,IF(BF$23&lt;PROD!$I$10,PROD!$H$20,IF(BF$23&lt;PROD!$J$10,PROD!$I$20,PROD!$J$20))))</f>
        <v>0.35551775720164608</v>
      </c>
      <c r="BG26" s="369">
        <f>IF(BG$23=0,0,IF(BG$23&lt;PROD!$H$10,PROD!$G$20,IF(BG$23&lt;PROD!$I$10,PROD!$H$20,IF(BG$23&lt;PROD!$J$10,PROD!$I$20,PROD!$J$20))))</f>
        <v>0.35551775720164608</v>
      </c>
      <c r="BH26" s="369">
        <f>IF(BH$23=0,0,IF(BH$23&lt;PROD!$H$10,PROD!$G$20,IF(BH$23&lt;PROD!$I$10,PROD!$H$20,IF(BH$23&lt;PROD!$J$10,PROD!$I$20,PROD!$J$20))))</f>
        <v>0.35551775720164608</v>
      </c>
      <c r="BI26" s="369">
        <f>IF(BI$23=0,0,IF(BI$23&lt;PROD!$H$10,PROD!$G$20,IF(BI$23&lt;PROD!$I$10,PROD!$H$20,IF(BI$23&lt;PROD!$J$10,PROD!$I$20,PROD!$J$20))))</f>
        <v>0.35551775720164608</v>
      </c>
      <c r="BJ26" s="369">
        <f>IF(BJ$23=0,0,IF(BJ$23&lt;PROD!$H$10,PROD!$G$20,IF(BJ$23&lt;PROD!$I$10,PROD!$H$20,IF(BJ$23&lt;PROD!$J$10,PROD!$I$20,PROD!$J$20))))</f>
        <v>0.35551775720164608</v>
      </c>
      <c r="BK26" s="369">
        <f>IF(BK$23=0,0,IF(BK$23&lt;PROD!$H$10,PROD!$G$20,IF(BK$23&lt;PROD!$I$10,PROD!$H$20,IF(BK$23&lt;PROD!$J$10,PROD!$I$20,PROD!$J$20))))</f>
        <v>0.35551775720164608</v>
      </c>
      <c r="BL26" s="369">
        <f>IF(BL$23=0,0,IF(BL$23&lt;PROD!$H$10,PROD!$G$20,IF(BL$23&lt;PROD!$I$10,PROD!$H$20,IF(BL$23&lt;PROD!$J$10,PROD!$I$20,PROD!$J$20))))</f>
        <v>0.35551775720164608</v>
      </c>
      <c r="BM26" s="369">
        <f>IF(BM$23=0,0,IF(BM$23&lt;PROD!$H$10,PROD!$G$20,IF(BM$23&lt;PROD!$I$10,PROD!$H$20,IF(BM$23&lt;PROD!$J$10,PROD!$I$20,PROD!$J$20))))</f>
        <v>0.35551775720164608</v>
      </c>
      <c r="BN26" s="369">
        <f>IF(BN$23=0,0,IF(BN$23&lt;PROD!$H$10,PROD!$G$20,IF(BN$23&lt;PROD!$I$10,PROD!$H$20,IF(BN$23&lt;PROD!$J$10,PROD!$I$20,PROD!$J$20))))</f>
        <v>0.35551775720164608</v>
      </c>
      <c r="BO26" s="369">
        <f>IF(BO$23=0,0,IF(BO$23&lt;PROD!$H$10,PROD!$G$20,IF(BO$23&lt;PROD!$I$10,PROD!$H$20,IF(BO$23&lt;PROD!$J$10,PROD!$I$20,PROD!$J$20))))</f>
        <v>0.35551775720164608</v>
      </c>
      <c r="BP26" s="369">
        <f>IF(BP$23=0,0,IF(BP$23&lt;PROD!$H$10,PROD!$G$20,IF(BP$23&lt;PROD!$I$10,PROD!$H$20,IF(BP$23&lt;PROD!$J$10,PROD!$I$20,PROD!$J$20))))</f>
        <v>0.35551775720164608</v>
      </c>
      <c r="BQ26" s="369">
        <f>IF(BQ$23=0,0,IF(BQ$23&lt;PROD!$H$10,PROD!$G$20,IF(BQ$23&lt;PROD!$I$10,PROD!$H$20,IF(BQ$23&lt;PROD!$J$10,PROD!$I$20,PROD!$J$20))))</f>
        <v>0.35551775720164608</v>
      </c>
      <c r="BR26" s="369">
        <f>IF(BR$23=0,0,IF(BR$23&lt;PROD!$H$10,PROD!$G$20,IF(BR$23&lt;PROD!$I$10,PROD!$H$20,IF(BR$23&lt;PROD!$J$10,PROD!$I$20,PROD!$J$20))))</f>
        <v>0.35551775720164608</v>
      </c>
      <c r="BS26" s="369">
        <f>IF(BS$23=0,0,IF(BS$23&lt;PROD!$H$10,PROD!$G$20,IF(BS$23&lt;PROD!$I$10,PROD!$H$20,IF(BS$23&lt;PROD!$J$10,PROD!$I$20,PROD!$J$20))))</f>
        <v>0.35551775720164608</v>
      </c>
      <c r="BT26" s="301" t="s">
        <v>321</v>
      </c>
    </row>
    <row r="27" spans="1:72" s="155" customFormat="1">
      <c r="A27" s="150"/>
      <c r="B27" s="151" t="str">
        <f>B19</f>
        <v>PEP Straw 2</v>
      </c>
      <c r="C27" s="152"/>
      <c r="D27" s="303">
        <f t="shared" ref="D27:D30" si="43">AVERAGE(K27:W27)</f>
        <v>0.43022564043209877</v>
      </c>
      <c r="E27" s="303">
        <f t="shared" ref="E27:E30" si="44">AVERAGE(X27:AI27)</f>
        <v>0.44297345301783264</v>
      </c>
      <c r="F27" s="303">
        <f t="shared" ref="F27:F30" si="45">AVERAGE(AJ27:AU27)</f>
        <v>0.35551775720164608</v>
      </c>
      <c r="G27" s="303">
        <f t="shared" ref="G27:G30" si="46">AVERAGE(AV27:BG27)</f>
        <v>0.35551775720164608</v>
      </c>
      <c r="H27" s="303">
        <f t="shared" ref="H27:H30" si="47">AVERAGE(BH27:BS27)</f>
        <v>0.35551775720164608</v>
      </c>
      <c r="I27" s="303"/>
      <c r="J27" s="100"/>
      <c r="K27" s="99"/>
      <c r="L27" s="369">
        <f>IF(L$23=0,0,IF(L$23&lt;PROD!$H$10,PROD!$G$20,IF(L$23&lt;PROD!$I$10,PROD!$H$20,IF(L$23&lt;PROD!$J$10,PROD!$I$20,PROD!$J$20))))</f>
        <v>0</v>
      </c>
      <c r="M27" s="369">
        <f>IF(M$23=0,0,IF(M$23&lt;PROD!$H$10,PROD!$G$20,IF(M$23&lt;PROD!$I$10,PROD!$H$20,IF(M$23&lt;PROD!$J$10,PROD!$I$20,PROD!$J$20))))</f>
        <v>0</v>
      </c>
      <c r="N27" s="369">
        <f>IF(N$23=0,0,IF(N$23&lt;PROD!$H$10,PROD!$G$20,IF(N$23&lt;PROD!$I$10,PROD!$H$20,IF(N$23&lt;PROD!$J$10,PROD!$I$20,PROD!$J$20))))</f>
        <v>0</v>
      </c>
      <c r="O27" s="369">
        <f>IF(O$23=0,0,IF(O$23&lt;PROD!$H$10,PROD!$G$20,IF(O$23&lt;PROD!$I$10,PROD!$H$20,IF(O$23&lt;PROD!$J$10,PROD!$I$20,PROD!$J$20))))</f>
        <v>0.57363418724279835</v>
      </c>
      <c r="P27" s="369">
        <f>IF(P$23=0,0,IF(P$23&lt;PROD!$H$10,PROD!$G$20,IF(P$23&lt;PROD!$I$10,PROD!$H$20,IF(P$23&lt;PROD!$J$10,PROD!$I$20,PROD!$J$20))))</f>
        <v>0.57363418724279835</v>
      </c>
      <c r="Q27" s="369">
        <f>IF(Q$23=0,0,IF(Q$23&lt;PROD!$H$10,PROD!$G$20,IF(Q$23&lt;PROD!$I$10,PROD!$H$20,IF(Q$23&lt;PROD!$J$10,PROD!$I$20,PROD!$J$20))))</f>
        <v>0.57363418724279835</v>
      </c>
      <c r="R27" s="369">
        <f>IF(R$23=0,0,IF(R$23&lt;PROD!$H$10,PROD!$G$20,IF(R$23&lt;PROD!$I$10,PROD!$H$20,IF(R$23&lt;PROD!$J$10,PROD!$I$20,PROD!$J$20))))</f>
        <v>0.57363418724279835</v>
      </c>
      <c r="S27" s="369">
        <f>IF(S$23=0,0,IF(S$23&lt;PROD!$H$10,PROD!$G$20,IF(S$23&lt;PROD!$I$10,PROD!$H$20,IF(S$23&lt;PROD!$J$10,PROD!$I$20,PROD!$J$20))))</f>
        <v>0.57363418724279835</v>
      </c>
      <c r="T27" s="369">
        <f>IF(T$23=0,0,IF(T$23&lt;PROD!$H$10,PROD!$G$20,IF(T$23&lt;PROD!$I$10,PROD!$H$20,IF(T$23&lt;PROD!$J$10,PROD!$I$20,PROD!$J$20))))</f>
        <v>0.57363418724279835</v>
      </c>
      <c r="U27" s="369">
        <f>IF(U$23=0,0,IF(U$23&lt;PROD!$H$10,PROD!$G$20,IF(U$23&lt;PROD!$I$10,PROD!$H$20,IF(U$23&lt;PROD!$J$10,PROD!$I$20,PROD!$J$20))))</f>
        <v>0.57363418724279835</v>
      </c>
      <c r="V27" s="369">
        <f>IF(V$23=0,0,IF(V$23&lt;PROD!$H$10,PROD!$G$20,IF(V$23&lt;PROD!$I$10,PROD!$H$20,IF(V$23&lt;PROD!$J$10,PROD!$I$20,PROD!$J$20))))</f>
        <v>0.57363418724279835</v>
      </c>
      <c r="W27" s="369">
        <f>IF(W$23=0,0,IF(W$23&lt;PROD!$H$10,PROD!$G$20,IF(W$23&lt;PROD!$I$10,PROD!$H$20,IF(W$23&lt;PROD!$J$10,PROD!$I$20,PROD!$J$20))))</f>
        <v>0.57363418724279835</v>
      </c>
      <c r="X27" s="369">
        <f>IF(X$23=0,0,IF(X$23&lt;PROD!$H$10,PROD!$G$20,IF(X$23&lt;PROD!$I$10,PROD!$H$20,IF(X$23&lt;PROD!$J$10,PROD!$I$20,PROD!$J$20))))</f>
        <v>0.57363418724279835</v>
      </c>
      <c r="Y27" s="369">
        <f>IF(Y$23=0,0,IF(Y$23&lt;PROD!$H$10,PROD!$G$20,IF(Y$23&lt;PROD!$I$10,PROD!$H$20,IF(Y$23&lt;PROD!$J$10,PROD!$I$20,PROD!$J$20))))</f>
        <v>0.57363418724279835</v>
      </c>
      <c r="Z27" s="369">
        <f>IF(Z$23=0,0,IF(Z$23&lt;PROD!$H$10,PROD!$G$20,IF(Z$23&lt;PROD!$I$10,PROD!$H$20,IF(Z$23&lt;PROD!$J$10,PROD!$I$20,PROD!$J$20))))</f>
        <v>0.46282470370370371</v>
      </c>
      <c r="AA27" s="369">
        <f>IF(AA$23=0,0,IF(AA$23&lt;PROD!$H$10,PROD!$G$20,IF(AA$23&lt;PROD!$I$10,PROD!$H$20,IF(AA$23&lt;PROD!$J$10,PROD!$I$20,PROD!$J$20))))</f>
        <v>0.46282470370370371</v>
      </c>
      <c r="AB27" s="369">
        <f>IF(AB$23=0,0,IF(AB$23&lt;PROD!$H$10,PROD!$G$20,IF(AB$23&lt;PROD!$I$10,PROD!$H$20,IF(AB$23&lt;PROD!$J$10,PROD!$I$20,PROD!$J$20))))</f>
        <v>0.46282470370370371</v>
      </c>
      <c r="AC27" s="369">
        <f>IF(AC$23=0,0,IF(AC$23&lt;PROD!$H$10,PROD!$G$20,IF(AC$23&lt;PROD!$I$10,PROD!$H$20,IF(AC$23&lt;PROD!$J$10,PROD!$I$20,PROD!$J$20))))</f>
        <v>0.46282470370370371</v>
      </c>
      <c r="AD27" s="369">
        <f>IF(AD$23=0,0,IF(AD$23&lt;PROD!$H$10,PROD!$G$20,IF(AD$23&lt;PROD!$I$10,PROD!$H$20,IF(AD$23&lt;PROD!$J$10,PROD!$I$20,PROD!$J$20))))</f>
        <v>0.46282470370370371</v>
      </c>
      <c r="AE27" s="369">
        <f>IF(AE$23=0,0,IF(AE$23&lt;PROD!$H$10,PROD!$G$20,IF(AE$23&lt;PROD!$I$10,PROD!$H$20,IF(AE$23&lt;PROD!$J$10,PROD!$I$20,PROD!$J$20))))</f>
        <v>0.3938681358024691</v>
      </c>
      <c r="AF27" s="369">
        <f>IF(AF$23=0,0,IF(AF$23&lt;PROD!$H$10,PROD!$G$20,IF(AF$23&lt;PROD!$I$10,PROD!$H$20,IF(AF$23&lt;PROD!$J$10,PROD!$I$20,PROD!$J$20))))</f>
        <v>0.3938681358024691</v>
      </c>
      <c r="AG27" s="369">
        <f>IF(AG$23=0,0,IF(AG$23&lt;PROD!$H$10,PROD!$G$20,IF(AG$23&lt;PROD!$I$10,PROD!$H$20,IF(AG$23&lt;PROD!$J$10,PROD!$I$20,PROD!$J$20))))</f>
        <v>0.35551775720164608</v>
      </c>
      <c r="AH27" s="369">
        <f>IF(AH$23=0,0,IF(AH$23&lt;PROD!$H$10,PROD!$G$20,IF(AH$23&lt;PROD!$I$10,PROD!$H$20,IF(AH$23&lt;PROD!$J$10,PROD!$I$20,PROD!$J$20))))</f>
        <v>0.35551775720164608</v>
      </c>
      <c r="AI27" s="369">
        <f>IF(AI$23=0,0,IF(AI$23&lt;PROD!$H$10,PROD!$G$20,IF(AI$23&lt;PROD!$I$10,PROD!$H$20,IF(AI$23&lt;PROD!$J$10,PROD!$I$20,PROD!$J$20))))</f>
        <v>0.35551775720164608</v>
      </c>
      <c r="AJ27" s="369">
        <f>IF(AJ$23=0,0,IF(AJ$23&lt;PROD!$H$10,PROD!$G$20,IF(AJ$23&lt;PROD!$I$10,PROD!$H$20,IF(AJ$23&lt;PROD!$J$10,PROD!$I$20,PROD!$J$20))))</f>
        <v>0.35551775720164608</v>
      </c>
      <c r="AK27" s="369">
        <f>IF(AK$23=0,0,IF(AK$23&lt;PROD!$H$10,PROD!$G$20,IF(AK$23&lt;PROD!$I$10,PROD!$H$20,IF(AK$23&lt;PROD!$J$10,PROD!$I$20,PROD!$J$20))))</f>
        <v>0.35551775720164608</v>
      </c>
      <c r="AL27" s="369">
        <f>IF(AL$23=0,0,IF(AL$23&lt;PROD!$H$10,PROD!$G$20,IF(AL$23&lt;PROD!$I$10,PROD!$H$20,IF(AL$23&lt;PROD!$J$10,PROD!$I$20,PROD!$J$20))))</f>
        <v>0.35551775720164608</v>
      </c>
      <c r="AM27" s="369">
        <f>IF(AM$23=0,0,IF(AM$23&lt;PROD!$H$10,PROD!$G$20,IF(AM$23&lt;PROD!$I$10,PROD!$H$20,IF(AM$23&lt;PROD!$J$10,PROD!$I$20,PROD!$J$20))))</f>
        <v>0.35551775720164608</v>
      </c>
      <c r="AN27" s="369">
        <f>IF(AN$23=0,0,IF(AN$23&lt;PROD!$H$10,PROD!$G$20,IF(AN$23&lt;PROD!$I$10,PROD!$H$20,IF(AN$23&lt;PROD!$J$10,PROD!$I$20,PROD!$J$20))))</f>
        <v>0.35551775720164608</v>
      </c>
      <c r="AO27" s="369">
        <f>IF(AO$23=0,0,IF(AO$23&lt;PROD!$H$10,PROD!$G$20,IF(AO$23&lt;PROD!$I$10,PROD!$H$20,IF(AO$23&lt;PROD!$J$10,PROD!$I$20,PROD!$J$20))))</f>
        <v>0.35551775720164608</v>
      </c>
      <c r="AP27" s="369">
        <f>IF(AP$23=0,0,IF(AP$23&lt;PROD!$H$10,PROD!$G$20,IF(AP$23&lt;PROD!$I$10,PROD!$H$20,IF(AP$23&lt;PROD!$J$10,PROD!$I$20,PROD!$J$20))))</f>
        <v>0.35551775720164608</v>
      </c>
      <c r="AQ27" s="369">
        <f>IF(AQ$23=0,0,IF(AQ$23&lt;PROD!$H$10,PROD!$G$20,IF(AQ$23&lt;PROD!$I$10,PROD!$H$20,IF(AQ$23&lt;PROD!$J$10,PROD!$I$20,PROD!$J$20))))</f>
        <v>0.35551775720164608</v>
      </c>
      <c r="AR27" s="369">
        <f>IF(AR$23=0,0,IF(AR$23&lt;PROD!$H$10,PROD!$G$20,IF(AR$23&lt;PROD!$I$10,PROD!$H$20,IF(AR$23&lt;PROD!$J$10,PROD!$I$20,PROD!$J$20))))</f>
        <v>0.35551775720164608</v>
      </c>
      <c r="AS27" s="369">
        <f>IF(AS$23=0,0,IF(AS$23&lt;PROD!$H$10,PROD!$G$20,IF(AS$23&lt;PROD!$I$10,PROD!$H$20,IF(AS$23&lt;PROD!$J$10,PROD!$I$20,PROD!$J$20))))</f>
        <v>0.35551775720164608</v>
      </c>
      <c r="AT27" s="369">
        <f>IF(AT$23=0,0,IF(AT$23&lt;PROD!$H$10,PROD!$G$20,IF(AT$23&lt;PROD!$I$10,PROD!$H$20,IF(AT$23&lt;PROD!$J$10,PROD!$I$20,PROD!$J$20))))</f>
        <v>0.35551775720164608</v>
      </c>
      <c r="AU27" s="369">
        <f>IF(AU$23=0,0,IF(AU$23&lt;PROD!$H$10,PROD!$G$20,IF(AU$23&lt;PROD!$I$10,PROD!$H$20,IF(AU$23&lt;PROD!$J$10,PROD!$I$20,PROD!$J$20))))</f>
        <v>0.35551775720164608</v>
      </c>
      <c r="AV27" s="369">
        <f>IF(AV$23=0,0,IF(AV$23&lt;PROD!$H$10,PROD!$G$20,IF(AV$23&lt;PROD!$I$10,PROD!$H$20,IF(AV$23&lt;PROD!$J$10,PROD!$I$20,PROD!$J$20))))</f>
        <v>0.35551775720164608</v>
      </c>
      <c r="AW27" s="369">
        <f>IF(AW$23=0,0,IF(AW$23&lt;PROD!$H$10,PROD!$G$20,IF(AW$23&lt;PROD!$I$10,PROD!$H$20,IF(AW$23&lt;PROD!$J$10,PROD!$I$20,PROD!$J$20))))</f>
        <v>0.35551775720164608</v>
      </c>
      <c r="AX27" s="369">
        <f>IF(AX$23=0,0,IF(AX$23&lt;PROD!$H$10,PROD!$G$20,IF(AX$23&lt;PROD!$I$10,PROD!$H$20,IF(AX$23&lt;PROD!$J$10,PROD!$I$20,PROD!$J$20))))</f>
        <v>0.35551775720164608</v>
      </c>
      <c r="AY27" s="369">
        <f>IF(AY$23=0,0,IF(AY$23&lt;PROD!$H$10,PROD!$G$20,IF(AY$23&lt;PROD!$I$10,PROD!$H$20,IF(AY$23&lt;PROD!$J$10,PROD!$I$20,PROD!$J$20))))</f>
        <v>0.35551775720164608</v>
      </c>
      <c r="AZ27" s="369">
        <f>IF(AZ$23=0,0,IF(AZ$23&lt;PROD!$H$10,PROD!$G$20,IF(AZ$23&lt;PROD!$I$10,PROD!$H$20,IF(AZ$23&lt;PROD!$J$10,PROD!$I$20,PROD!$J$20))))</f>
        <v>0.35551775720164608</v>
      </c>
      <c r="BA27" s="369">
        <f>IF(BA$23=0,0,IF(BA$23&lt;PROD!$H$10,PROD!$G$20,IF(BA$23&lt;PROD!$I$10,PROD!$H$20,IF(BA$23&lt;PROD!$J$10,PROD!$I$20,PROD!$J$20))))</f>
        <v>0.35551775720164608</v>
      </c>
      <c r="BB27" s="369">
        <f>IF(BB$23=0,0,IF(BB$23&lt;PROD!$H$10,PROD!$G$20,IF(BB$23&lt;PROD!$I$10,PROD!$H$20,IF(BB$23&lt;PROD!$J$10,PROD!$I$20,PROD!$J$20))))</f>
        <v>0.35551775720164608</v>
      </c>
      <c r="BC27" s="369">
        <f>IF(BC$23=0,0,IF(BC$23&lt;PROD!$H$10,PROD!$G$20,IF(BC$23&lt;PROD!$I$10,PROD!$H$20,IF(BC$23&lt;PROD!$J$10,PROD!$I$20,PROD!$J$20))))</f>
        <v>0.35551775720164608</v>
      </c>
      <c r="BD27" s="369">
        <f>IF(BD$23=0,0,IF(BD$23&lt;PROD!$H$10,PROD!$G$20,IF(BD$23&lt;PROD!$I$10,PROD!$H$20,IF(BD$23&lt;PROD!$J$10,PROD!$I$20,PROD!$J$20))))</f>
        <v>0.35551775720164608</v>
      </c>
      <c r="BE27" s="369">
        <f>IF(BE$23=0,0,IF(BE$23&lt;PROD!$H$10,PROD!$G$20,IF(BE$23&lt;PROD!$I$10,PROD!$H$20,IF(BE$23&lt;PROD!$J$10,PROD!$I$20,PROD!$J$20))))</f>
        <v>0.35551775720164608</v>
      </c>
      <c r="BF27" s="369">
        <f>IF(BF$23=0,0,IF(BF$23&lt;PROD!$H$10,PROD!$G$20,IF(BF$23&lt;PROD!$I$10,PROD!$H$20,IF(BF$23&lt;PROD!$J$10,PROD!$I$20,PROD!$J$20))))</f>
        <v>0.35551775720164608</v>
      </c>
      <c r="BG27" s="369">
        <f>IF(BG$23=0,0,IF(BG$23&lt;PROD!$H$10,PROD!$G$20,IF(BG$23&lt;PROD!$I$10,PROD!$H$20,IF(BG$23&lt;PROD!$J$10,PROD!$I$20,PROD!$J$20))))</f>
        <v>0.35551775720164608</v>
      </c>
      <c r="BH27" s="369">
        <f>IF(BH$23=0,0,IF(BH$23&lt;PROD!$H$10,PROD!$G$20,IF(BH$23&lt;PROD!$I$10,PROD!$H$20,IF(BH$23&lt;PROD!$J$10,PROD!$I$20,PROD!$J$20))))</f>
        <v>0.35551775720164608</v>
      </c>
      <c r="BI27" s="369">
        <f>IF(BI$23=0,0,IF(BI$23&lt;PROD!$H$10,PROD!$G$20,IF(BI$23&lt;PROD!$I$10,PROD!$H$20,IF(BI$23&lt;PROD!$J$10,PROD!$I$20,PROD!$J$20))))</f>
        <v>0.35551775720164608</v>
      </c>
      <c r="BJ27" s="369">
        <f>IF(BJ$23=0,0,IF(BJ$23&lt;PROD!$H$10,PROD!$G$20,IF(BJ$23&lt;PROD!$I$10,PROD!$H$20,IF(BJ$23&lt;PROD!$J$10,PROD!$I$20,PROD!$J$20))))</f>
        <v>0.35551775720164608</v>
      </c>
      <c r="BK27" s="369">
        <f>IF(BK$23=0,0,IF(BK$23&lt;PROD!$H$10,PROD!$G$20,IF(BK$23&lt;PROD!$I$10,PROD!$H$20,IF(BK$23&lt;PROD!$J$10,PROD!$I$20,PROD!$J$20))))</f>
        <v>0.35551775720164608</v>
      </c>
      <c r="BL27" s="369">
        <f>IF(BL$23=0,0,IF(BL$23&lt;PROD!$H$10,PROD!$G$20,IF(BL$23&lt;PROD!$I$10,PROD!$H$20,IF(BL$23&lt;PROD!$J$10,PROD!$I$20,PROD!$J$20))))</f>
        <v>0.35551775720164608</v>
      </c>
      <c r="BM27" s="369">
        <f>IF(BM$23=0,0,IF(BM$23&lt;PROD!$H$10,PROD!$G$20,IF(BM$23&lt;PROD!$I$10,PROD!$H$20,IF(BM$23&lt;PROD!$J$10,PROD!$I$20,PROD!$J$20))))</f>
        <v>0.35551775720164608</v>
      </c>
      <c r="BN27" s="369">
        <f>IF(BN$23=0,0,IF(BN$23&lt;PROD!$H$10,PROD!$G$20,IF(BN$23&lt;PROD!$I$10,PROD!$H$20,IF(BN$23&lt;PROD!$J$10,PROD!$I$20,PROD!$J$20))))</f>
        <v>0.35551775720164608</v>
      </c>
      <c r="BO27" s="369">
        <f>IF(BO$23=0,0,IF(BO$23&lt;PROD!$H$10,PROD!$G$20,IF(BO$23&lt;PROD!$I$10,PROD!$H$20,IF(BO$23&lt;PROD!$J$10,PROD!$I$20,PROD!$J$20))))</f>
        <v>0.35551775720164608</v>
      </c>
      <c r="BP27" s="369">
        <f>IF(BP$23=0,0,IF(BP$23&lt;PROD!$H$10,PROD!$G$20,IF(BP$23&lt;PROD!$I$10,PROD!$H$20,IF(BP$23&lt;PROD!$J$10,PROD!$I$20,PROD!$J$20))))</f>
        <v>0.35551775720164608</v>
      </c>
      <c r="BQ27" s="369">
        <f>IF(BQ$23=0,0,IF(BQ$23&lt;PROD!$H$10,PROD!$G$20,IF(BQ$23&lt;PROD!$I$10,PROD!$H$20,IF(BQ$23&lt;PROD!$J$10,PROD!$I$20,PROD!$J$20))))</f>
        <v>0.35551775720164608</v>
      </c>
      <c r="BR27" s="369">
        <f>IF(BR$23=0,0,IF(BR$23&lt;PROD!$H$10,PROD!$G$20,IF(BR$23&lt;PROD!$I$10,PROD!$H$20,IF(BR$23&lt;PROD!$J$10,PROD!$I$20,PROD!$J$20))))</f>
        <v>0.35551775720164608</v>
      </c>
      <c r="BS27" s="369">
        <f>IF(BS$23=0,0,IF(BS$23&lt;PROD!$H$10,PROD!$G$20,IF(BS$23&lt;PROD!$I$10,PROD!$H$20,IF(BS$23&lt;PROD!$J$10,PROD!$I$20,PROD!$J$20))))</f>
        <v>0.35551775720164608</v>
      </c>
      <c r="BT27" s="301" t="s">
        <v>321</v>
      </c>
    </row>
    <row r="28" spans="1:72" s="155" customFormat="1">
      <c r="A28" s="150"/>
      <c r="B28" s="151" t="str">
        <f>B20</f>
        <v>PEP Straw 3</v>
      </c>
      <c r="C28" s="152"/>
      <c r="D28" s="303">
        <f t="shared" si="43"/>
        <v>0.43022564043209877</v>
      </c>
      <c r="E28" s="303">
        <f t="shared" si="44"/>
        <v>0.44297345301783264</v>
      </c>
      <c r="F28" s="303">
        <f t="shared" si="45"/>
        <v>0.35551775720164608</v>
      </c>
      <c r="G28" s="303">
        <f t="shared" si="46"/>
        <v>0.35551775720164608</v>
      </c>
      <c r="H28" s="303">
        <f t="shared" si="47"/>
        <v>0.35551775720164608</v>
      </c>
      <c r="I28" s="303"/>
      <c r="J28" s="100"/>
      <c r="K28" s="99"/>
      <c r="L28" s="369">
        <f>IF(L$23=0,0,IF(L$23&lt;PROD!$H$10,PROD!$G$20,IF(L$23&lt;PROD!$I$10,PROD!$H$20,IF(L$23&lt;PROD!$J$10,PROD!$I$20,PROD!$J$20))))</f>
        <v>0</v>
      </c>
      <c r="M28" s="369">
        <f>IF(M$23=0,0,IF(M$23&lt;PROD!$H$10,PROD!$G$20,IF(M$23&lt;PROD!$I$10,PROD!$H$20,IF(M$23&lt;PROD!$J$10,PROD!$I$20,PROD!$J$20))))</f>
        <v>0</v>
      </c>
      <c r="N28" s="369">
        <f>IF(N$23=0,0,IF(N$23&lt;PROD!$H$10,PROD!$G$20,IF(N$23&lt;PROD!$I$10,PROD!$H$20,IF(N$23&lt;PROD!$J$10,PROD!$I$20,PROD!$J$20))))</f>
        <v>0</v>
      </c>
      <c r="O28" s="369">
        <f>IF(O$23=0,0,IF(O$23&lt;PROD!$H$10,PROD!$G$20,IF(O$23&lt;PROD!$I$10,PROD!$H$20,IF(O$23&lt;PROD!$J$10,PROD!$I$20,PROD!$J$20))))</f>
        <v>0.57363418724279835</v>
      </c>
      <c r="P28" s="369">
        <f>IF(P$23=0,0,IF(P$23&lt;PROD!$H$10,PROD!$G$20,IF(P$23&lt;PROD!$I$10,PROD!$H$20,IF(P$23&lt;PROD!$J$10,PROD!$I$20,PROD!$J$20))))</f>
        <v>0.57363418724279835</v>
      </c>
      <c r="Q28" s="369">
        <f>IF(Q$23=0,0,IF(Q$23&lt;PROD!$H$10,PROD!$G$20,IF(Q$23&lt;PROD!$I$10,PROD!$H$20,IF(Q$23&lt;PROD!$J$10,PROD!$I$20,PROD!$J$20))))</f>
        <v>0.57363418724279835</v>
      </c>
      <c r="R28" s="369">
        <f>IF(R$23=0,0,IF(R$23&lt;PROD!$H$10,PROD!$G$20,IF(R$23&lt;PROD!$I$10,PROD!$H$20,IF(R$23&lt;PROD!$J$10,PROD!$I$20,PROD!$J$20))))</f>
        <v>0.57363418724279835</v>
      </c>
      <c r="S28" s="369">
        <f>IF(S$23=0,0,IF(S$23&lt;PROD!$H$10,PROD!$G$20,IF(S$23&lt;PROD!$I$10,PROD!$H$20,IF(S$23&lt;PROD!$J$10,PROD!$I$20,PROD!$J$20))))</f>
        <v>0.57363418724279835</v>
      </c>
      <c r="T28" s="369">
        <f>IF(T$23=0,0,IF(T$23&lt;PROD!$H$10,PROD!$G$20,IF(T$23&lt;PROD!$I$10,PROD!$H$20,IF(T$23&lt;PROD!$J$10,PROD!$I$20,PROD!$J$20))))</f>
        <v>0.57363418724279835</v>
      </c>
      <c r="U28" s="369">
        <f>IF(U$23=0,0,IF(U$23&lt;PROD!$H$10,PROD!$G$20,IF(U$23&lt;PROD!$I$10,PROD!$H$20,IF(U$23&lt;PROD!$J$10,PROD!$I$20,PROD!$J$20))))</f>
        <v>0.57363418724279835</v>
      </c>
      <c r="V28" s="369">
        <f>IF(V$23=0,0,IF(V$23&lt;PROD!$H$10,PROD!$G$20,IF(V$23&lt;PROD!$I$10,PROD!$H$20,IF(V$23&lt;PROD!$J$10,PROD!$I$20,PROD!$J$20))))</f>
        <v>0.57363418724279835</v>
      </c>
      <c r="W28" s="369">
        <f>IF(W$23=0,0,IF(W$23&lt;PROD!$H$10,PROD!$G$20,IF(W$23&lt;PROD!$I$10,PROD!$H$20,IF(W$23&lt;PROD!$J$10,PROD!$I$20,PROD!$J$20))))</f>
        <v>0.57363418724279835</v>
      </c>
      <c r="X28" s="369">
        <f>IF(X$23=0,0,IF(X$23&lt;PROD!$H$10,PROD!$G$20,IF(X$23&lt;PROD!$I$10,PROD!$H$20,IF(X$23&lt;PROD!$J$10,PROD!$I$20,PROD!$J$20))))</f>
        <v>0.57363418724279835</v>
      </c>
      <c r="Y28" s="369">
        <f>IF(Y$23=0,0,IF(Y$23&lt;PROD!$H$10,PROD!$G$20,IF(Y$23&lt;PROD!$I$10,PROD!$H$20,IF(Y$23&lt;PROD!$J$10,PROD!$I$20,PROD!$J$20))))</f>
        <v>0.57363418724279835</v>
      </c>
      <c r="Z28" s="369">
        <f>IF(Z$23=0,0,IF(Z$23&lt;PROD!$H$10,PROD!$G$20,IF(Z$23&lt;PROD!$I$10,PROD!$H$20,IF(Z$23&lt;PROD!$J$10,PROD!$I$20,PROD!$J$20))))</f>
        <v>0.46282470370370371</v>
      </c>
      <c r="AA28" s="369">
        <f>IF(AA$23=0,0,IF(AA$23&lt;PROD!$H$10,PROD!$G$20,IF(AA$23&lt;PROD!$I$10,PROD!$H$20,IF(AA$23&lt;PROD!$J$10,PROD!$I$20,PROD!$J$20))))</f>
        <v>0.46282470370370371</v>
      </c>
      <c r="AB28" s="369">
        <f>IF(AB$23=0,0,IF(AB$23&lt;PROD!$H$10,PROD!$G$20,IF(AB$23&lt;PROD!$I$10,PROD!$H$20,IF(AB$23&lt;PROD!$J$10,PROD!$I$20,PROD!$J$20))))</f>
        <v>0.46282470370370371</v>
      </c>
      <c r="AC28" s="369">
        <f>IF(AC$23=0,0,IF(AC$23&lt;PROD!$H$10,PROD!$G$20,IF(AC$23&lt;PROD!$I$10,PROD!$H$20,IF(AC$23&lt;PROD!$J$10,PROD!$I$20,PROD!$J$20))))</f>
        <v>0.46282470370370371</v>
      </c>
      <c r="AD28" s="369">
        <f>IF(AD$23=0,0,IF(AD$23&lt;PROD!$H$10,PROD!$G$20,IF(AD$23&lt;PROD!$I$10,PROD!$H$20,IF(AD$23&lt;PROD!$J$10,PROD!$I$20,PROD!$J$20))))</f>
        <v>0.46282470370370371</v>
      </c>
      <c r="AE28" s="369">
        <f>IF(AE$23=0,0,IF(AE$23&lt;PROD!$H$10,PROD!$G$20,IF(AE$23&lt;PROD!$I$10,PROD!$H$20,IF(AE$23&lt;PROD!$J$10,PROD!$I$20,PROD!$J$20))))</f>
        <v>0.3938681358024691</v>
      </c>
      <c r="AF28" s="369">
        <f>IF(AF$23=0,0,IF(AF$23&lt;PROD!$H$10,PROD!$G$20,IF(AF$23&lt;PROD!$I$10,PROD!$H$20,IF(AF$23&lt;PROD!$J$10,PROD!$I$20,PROD!$J$20))))</f>
        <v>0.3938681358024691</v>
      </c>
      <c r="AG28" s="369">
        <f>IF(AG$23=0,0,IF(AG$23&lt;PROD!$H$10,PROD!$G$20,IF(AG$23&lt;PROD!$I$10,PROD!$H$20,IF(AG$23&lt;PROD!$J$10,PROD!$I$20,PROD!$J$20))))</f>
        <v>0.35551775720164608</v>
      </c>
      <c r="AH28" s="369">
        <f>IF(AH$23=0,0,IF(AH$23&lt;PROD!$H$10,PROD!$G$20,IF(AH$23&lt;PROD!$I$10,PROD!$H$20,IF(AH$23&lt;PROD!$J$10,PROD!$I$20,PROD!$J$20))))</f>
        <v>0.35551775720164608</v>
      </c>
      <c r="AI28" s="369">
        <f>IF(AI$23=0,0,IF(AI$23&lt;PROD!$H$10,PROD!$G$20,IF(AI$23&lt;PROD!$I$10,PROD!$H$20,IF(AI$23&lt;PROD!$J$10,PROD!$I$20,PROD!$J$20))))</f>
        <v>0.35551775720164608</v>
      </c>
      <c r="AJ28" s="369">
        <f>IF(AJ$23=0,0,IF(AJ$23&lt;PROD!$H$10,PROD!$G$20,IF(AJ$23&lt;PROD!$I$10,PROD!$H$20,IF(AJ$23&lt;PROD!$J$10,PROD!$I$20,PROD!$J$20))))</f>
        <v>0.35551775720164608</v>
      </c>
      <c r="AK28" s="369">
        <f>IF(AK$23=0,0,IF(AK$23&lt;PROD!$H$10,PROD!$G$20,IF(AK$23&lt;PROD!$I$10,PROD!$H$20,IF(AK$23&lt;PROD!$J$10,PROD!$I$20,PROD!$J$20))))</f>
        <v>0.35551775720164608</v>
      </c>
      <c r="AL28" s="369">
        <f>IF(AL$23=0,0,IF(AL$23&lt;PROD!$H$10,PROD!$G$20,IF(AL$23&lt;PROD!$I$10,PROD!$H$20,IF(AL$23&lt;PROD!$J$10,PROD!$I$20,PROD!$J$20))))</f>
        <v>0.35551775720164608</v>
      </c>
      <c r="AM28" s="369">
        <f>IF(AM$23=0,0,IF(AM$23&lt;PROD!$H$10,PROD!$G$20,IF(AM$23&lt;PROD!$I$10,PROD!$H$20,IF(AM$23&lt;PROD!$J$10,PROD!$I$20,PROD!$J$20))))</f>
        <v>0.35551775720164608</v>
      </c>
      <c r="AN28" s="369">
        <f>IF(AN$23=0,0,IF(AN$23&lt;PROD!$H$10,PROD!$G$20,IF(AN$23&lt;PROD!$I$10,PROD!$H$20,IF(AN$23&lt;PROD!$J$10,PROD!$I$20,PROD!$J$20))))</f>
        <v>0.35551775720164608</v>
      </c>
      <c r="AO28" s="369">
        <f>IF(AO$23=0,0,IF(AO$23&lt;PROD!$H$10,PROD!$G$20,IF(AO$23&lt;PROD!$I$10,PROD!$H$20,IF(AO$23&lt;PROD!$J$10,PROD!$I$20,PROD!$J$20))))</f>
        <v>0.35551775720164608</v>
      </c>
      <c r="AP28" s="369">
        <f>IF(AP$23=0,0,IF(AP$23&lt;PROD!$H$10,PROD!$G$20,IF(AP$23&lt;PROD!$I$10,PROD!$H$20,IF(AP$23&lt;PROD!$J$10,PROD!$I$20,PROD!$J$20))))</f>
        <v>0.35551775720164608</v>
      </c>
      <c r="AQ28" s="369">
        <f>IF(AQ$23=0,0,IF(AQ$23&lt;PROD!$H$10,PROD!$G$20,IF(AQ$23&lt;PROD!$I$10,PROD!$H$20,IF(AQ$23&lt;PROD!$J$10,PROD!$I$20,PROD!$J$20))))</f>
        <v>0.35551775720164608</v>
      </c>
      <c r="AR28" s="369">
        <f>IF(AR$23=0,0,IF(AR$23&lt;PROD!$H$10,PROD!$G$20,IF(AR$23&lt;PROD!$I$10,PROD!$H$20,IF(AR$23&lt;PROD!$J$10,PROD!$I$20,PROD!$J$20))))</f>
        <v>0.35551775720164608</v>
      </c>
      <c r="AS28" s="369">
        <f>IF(AS$23=0,0,IF(AS$23&lt;PROD!$H$10,PROD!$G$20,IF(AS$23&lt;PROD!$I$10,PROD!$H$20,IF(AS$23&lt;PROD!$J$10,PROD!$I$20,PROD!$J$20))))</f>
        <v>0.35551775720164608</v>
      </c>
      <c r="AT28" s="369">
        <f>IF(AT$23=0,0,IF(AT$23&lt;PROD!$H$10,PROD!$G$20,IF(AT$23&lt;PROD!$I$10,PROD!$H$20,IF(AT$23&lt;PROD!$J$10,PROD!$I$20,PROD!$J$20))))</f>
        <v>0.35551775720164608</v>
      </c>
      <c r="AU28" s="369">
        <f>IF(AU$23=0,0,IF(AU$23&lt;PROD!$H$10,PROD!$G$20,IF(AU$23&lt;PROD!$I$10,PROD!$H$20,IF(AU$23&lt;PROD!$J$10,PROD!$I$20,PROD!$J$20))))</f>
        <v>0.35551775720164608</v>
      </c>
      <c r="AV28" s="369">
        <f>IF(AV$23=0,0,IF(AV$23&lt;PROD!$H$10,PROD!$G$20,IF(AV$23&lt;PROD!$I$10,PROD!$H$20,IF(AV$23&lt;PROD!$J$10,PROD!$I$20,PROD!$J$20))))</f>
        <v>0.35551775720164608</v>
      </c>
      <c r="AW28" s="369">
        <f>IF(AW$23=0,0,IF(AW$23&lt;PROD!$H$10,PROD!$G$20,IF(AW$23&lt;PROD!$I$10,PROD!$H$20,IF(AW$23&lt;PROD!$J$10,PROD!$I$20,PROD!$J$20))))</f>
        <v>0.35551775720164608</v>
      </c>
      <c r="AX28" s="369">
        <f>IF(AX$23=0,0,IF(AX$23&lt;PROD!$H$10,PROD!$G$20,IF(AX$23&lt;PROD!$I$10,PROD!$H$20,IF(AX$23&lt;PROD!$J$10,PROD!$I$20,PROD!$J$20))))</f>
        <v>0.35551775720164608</v>
      </c>
      <c r="AY28" s="369">
        <f>IF(AY$23=0,0,IF(AY$23&lt;PROD!$H$10,PROD!$G$20,IF(AY$23&lt;PROD!$I$10,PROD!$H$20,IF(AY$23&lt;PROD!$J$10,PROD!$I$20,PROD!$J$20))))</f>
        <v>0.35551775720164608</v>
      </c>
      <c r="AZ28" s="369">
        <f>IF(AZ$23=0,0,IF(AZ$23&lt;PROD!$H$10,PROD!$G$20,IF(AZ$23&lt;PROD!$I$10,PROD!$H$20,IF(AZ$23&lt;PROD!$J$10,PROD!$I$20,PROD!$J$20))))</f>
        <v>0.35551775720164608</v>
      </c>
      <c r="BA28" s="369">
        <f>IF(BA$23=0,0,IF(BA$23&lt;PROD!$H$10,PROD!$G$20,IF(BA$23&lt;PROD!$I$10,PROD!$H$20,IF(BA$23&lt;PROD!$J$10,PROD!$I$20,PROD!$J$20))))</f>
        <v>0.35551775720164608</v>
      </c>
      <c r="BB28" s="369">
        <f>IF(BB$23=0,0,IF(BB$23&lt;PROD!$H$10,PROD!$G$20,IF(BB$23&lt;PROD!$I$10,PROD!$H$20,IF(BB$23&lt;PROD!$J$10,PROD!$I$20,PROD!$J$20))))</f>
        <v>0.35551775720164608</v>
      </c>
      <c r="BC28" s="369">
        <f>IF(BC$23=0,0,IF(BC$23&lt;PROD!$H$10,PROD!$G$20,IF(BC$23&lt;PROD!$I$10,PROD!$H$20,IF(BC$23&lt;PROD!$J$10,PROD!$I$20,PROD!$J$20))))</f>
        <v>0.35551775720164608</v>
      </c>
      <c r="BD28" s="369">
        <f>IF(BD$23=0,0,IF(BD$23&lt;PROD!$H$10,PROD!$G$20,IF(BD$23&lt;PROD!$I$10,PROD!$H$20,IF(BD$23&lt;PROD!$J$10,PROD!$I$20,PROD!$J$20))))</f>
        <v>0.35551775720164608</v>
      </c>
      <c r="BE28" s="369">
        <f>IF(BE$23=0,0,IF(BE$23&lt;PROD!$H$10,PROD!$G$20,IF(BE$23&lt;PROD!$I$10,PROD!$H$20,IF(BE$23&lt;PROD!$J$10,PROD!$I$20,PROD!$J$20))))</f>
        <v>0.35551775720164608</v>
      </c>
      <c r="BF28" s="369">
        <f>IF(BF$23=0,0,IF(BF$23&lt;PROD!$H$10,PROD!$G$20,IF(BF$23&lt;PROD!$I$10,PROD!$H$20,IF(BF$23&lt;PROD!$J$10,PROD!$I$20,PROD!$J$20))))</f>
        <v>0.35551775720164608</v>
      </c>
      <c r="BG28" s="369">
        <f>IF(BG$23=0,0,IF(BG$23&lt;PROD!$H$10,PROD!$G$20,IF(BG$23&lt;PROD!$I$10,PROD!$H$20,IF(BG$23&lt;PROD!$J$10,PROD!$I$20,PROD!$J$20))))</f>
        <v>0.35551775720164608</v>
      </c>
      <c r="BH28" s="369">
        <f>IF(BH$23=0,0,IF(BH$23&lt;PROD!$H$10,PROD!$G$20,IF(BH$23&lt;PROD!$I$10,PROD!$H$20,IF(BH$23&lt;PROD!$J$10,PROD!$I$20,PROD!$J$20))))</f>
        <v>0.35551775720164608</v>
      </c>
      <c r="BI28" s="369">
        <f>IF(BI$23=0,0,IF(BI$23&lt;PROD!$H$10,PROD!$G$20,IF(BI$23&lt;PROD!$I$10,PROD!$H$20,IF(BI$23&lt;PROD!$J$10,PROD!$I$20,PROD!$J$20))))</f>
        <v>0.35551775720164608</v>
      </c>
      <c r="BJ28" s="369">
        <f>IF(BJ$23=0,0,IF(BJ$23&lt;PROD!$H$10,PROD!$G$20,IF(BJ$23&lt;PROD!$I$10,PROD!$H$20,IF(BJ$23&lt;PROD!$J$10,PROD!$I$20,PROD!$J$20))))</f>
        <v>0.35551775720164608</v>
      </c>
      <c r="BK28" s="369">
        <f>IF(BK$23=0,0,IF(BK$23&lt;PROD!$H$10,PROD!$G$20,IF(BK$23&lt;PROD!$I$10,PROD!$H$20,IF(BK$23&lt;PROD!$J$10,PROD!$I$20,PROD!$J$20))))</f>
        <v>0.35551775720164608</v>
      </c>
      <c r="BL28" s="369">
        <f>IF(BL$23=0,0,IF(BL$23&lt;PROD!$H$10,PROD!$G$20,IF(BL$23&lt;PROD!$I$10,PROD!$H$20,IF(BL$23&lt;PROD!$J$10,PROD!$I$20,PROD!$J$20))))</f>
        <v>0.35551775720164608</v>
      </c>
      <c r="BM28" s="369">
        <f>IF(BM$23=0,0,IF(BM$23&lt;PROD!$H$10,PROD!$G$20,IF(BM$23&lt;PROD!$I$10,PROD!$H$20,IF(BM$23&lt;PROD!$J$10,PROD!$I$20,PROD!$J$20))))</f>
        <v>0.35551775720164608</v>
      </c>
      <c r="BN28" s="369">
        <f>IF(BN$23=0,0,IF(BN$23&lt;PROD!$H$10,PROD!$G$20,IF(BN$23&lt;PROD!$I$10,PROD!$H$20,IF(BN$23&lt;PROD!$J$10,PROD!$I$20,PROD!$J$20))))</f>
        <v>0.35551775720164608</v>
      </c>
      <c r="BO28" s="369">
        <f>IF(BO$23=0,0,IF(BO$23&lt;PROD!$H$10,PROD!$G$20,IF(BO$23&lt;PROD!$I$10,PROD!$H$20,IF(BO$23&lt;PROD!$J$10,PROD!$I$20,PROD!$J$20))))</f>
        <v>0.35551775720164608</v>
      </c>
      <c r="BP28" s="369">
        <f>IF(BP$23=0,0,IF(BP$23&lt;PROD!$H$10,PROD!$G$20,IF(BP$23&lt;PROD!$I$10,PROD!$H$20,IF(BP$23&lt;PROD!$J$10,PROD!$I$20,PROD!$J$20))))</f>
        <v>0.35551775720164608</v>
      </c>
      <c r="BQ28" s="369">
        <f>IF(BQ$23=0,0,IF(BQ$23&lt;PROD!$H$10,PROD!$G$20,IF(BQ$23&lt;PROD!$I$10,PROD!$H$20,IF(BQ$23&lt;PROD!$J$10,PROD!$I$20,PROD!$J$20))))</f>
        <v>0.35551775720164608</v>
      </c>
      <c r="BR28" s="369">
        <f>IF(BR$23=0,0,IF(BR$23&lt;PROD!$H$10,PROD!$G$20,IF(BR$23&lt;PROD!$I$10,PROD!$H$20,IF(BR$23&lt;PROD!$J$10,PROD!$I$20,PROD!$J$20))))</f>
        <v>0.35551775720164608</v>
      </c>
      <c r="BS28" s="369">
        <f>IF(BS$23=0,0,IF(BS$23&lt;PROD!$H$10,PROD!$G$20,IF(BS$23&lt;PROD!$I$10,PROD!$H$20,IF(BS$23&lt;PROD!$J$10,PROD!$I$20,PROD!$J$20))))</f>
        <v>0.35551775720164608</v>
      </c>
      <c r="BT28" s="301" t="s">
        <v>321</v>
      </c>
    </row>
    <row r="29" spans="1:72" s="155" customFormat="1">
      <c r="A29" s="150"/>
      <c r="B29" s="151" t="str">
        <f>B21</f>
        <v>PRODUCT 4</v>
      </c>
      <c r="C29" s="152"/>
      <c r="D29" s="303">
        <f t="shared" si="43"/>
        <v>0.43022564043209877</v>
      </c>
      <c r="E29" s="303">
        <f t="shared" si="44"/>
        <v>0.44297345301783264</v>
      </c>
      <c r="F29" s="303">
        <f t="shared" si="45"/>
        <v>0.35551775720164608</v>
      </c>
      <c r="G29" s="303">
        <f t="shared" si="46"/>
        <v>0.35551775720164608</v>
      </c>
      <c r="H29" s="303">
        <f t="shared" si="47"/>
        <v>0.35551775720164608</v>
      </c>
      <c r="I29" s="303"/>
      <c r="J29" s="100"/>
      <c r="K29" s="99"/>
      <c r="L29" s="369">
        <f>IF(L$23=0,0,IF(L$23&lt;PROD!$H$10,PROD!$G$20,IF(L$23&lt;PROD!$I$10,PROD!$H$20,IF(L$23&lt;PROD!$J$10,PROD!$I$20,PROD!$J$20))))</f>
        <v>0</v>
      </c>
      <c r="M29" s="369">
        <f>IF(M$23=0,0,IF(M$23&lt;PROD!$H$10,PROD!$G$20,IF(M$23&lt;PROD!$I$10,PROD!$H$20,IF(M$23&lt;PROD!$J$10,PROD!$I$20,PROD!$J$20))))</f>
        <v>0</v>
      </c>
      <c r="N29" s="369">
        <f>IF(N$23=0,0,IF(N$23&lt;PROD!$H$10,PROD!$G$20,IF(N$23&lt;PROD!$I$10,PROD!$H$20,IF(N$23&lt;PROD!$J$10,PROD!$I$20,PROD!$J$20))))</f>
        <v>0</v>
      </c>
      <c r="O29" s="369">
        <f>IF(O$23=0,0,IF(O$23&lt;PROD!$H$10,PROD!$G$20,IF(O$23&lt;PROD!$I$10,PROD!$H$20,IF(O$23&lt;PROD!$J$10,PROD!$I$20,PROD!$J$20))))</f>
        <v>0.57363418724279835</v>
      </c>
      <c r="P29" s="369">
        <f>IF(P$23=0,0,IF(P$23&lt;PROD!$H$10,PROD!$G$20,IF(P$23&lt;PROD!$I$10,PROD!$H$20,IF(P$23&lt;PROD!$J$10,PROD!$I$20,PROD!$J$20))))</f>
        <v>0.57363418724279835</v>
      </c>
      <c r="Q29" s="369">
        <f>IF(Q$23=0,0,IF(Q$23&lt;PROD!$H$10,PROD!$G$20,IF(Q$23&lt;PROD!$I$10,PROD!$H$20,IF(Q$23&lt;PROD!$J$10,PROD!$I$20,PROD!$J$20))))</f>
        <v>0.57363418724279835</v>
      </c>
      <c r="R29" s="369">
        <f>IF(R$23=0,0,IF(R$23&lt;PROD!$H$10,PROD!$G$20,IF(R$23&lt;PROD!$I$10,PROD!$H$20,IF(R$23&lt;PROD!$J$10,PROD!$I$20,PROD!$J$20))))</f>
        <v>0.57363418724279835</v>
      </c>
      <c r="S29" s="369">
        <f>IF(S$23=0,0,IF(S$23&lt;PROD!$H$10,PROD!$G$20,IF(S$23&lt;PROD!$I$10,PROD!$H$20,IF(S$23&lt;PROD!$J$10,PROD!$I$20,PROD!$J$20))))</f>
        <v>0.57363418724279835</v>
      </c>
      <c r="T29" s="369">
        <f>IF(T$23=0,0,IF(T$23&lt;PROD!$H$10,PROD!$G$20,IF(T$23&lt;PROD!$I$10,PROD!$H$20,IF(T$23&lt;PROD!$J$10,PROD!$I$20,PROD!$J$20))))</f>
        <v>0.57363418724279835</v>
      </c>
      <c r="U29" s="369">
        <f>IF(U$23=0,0,IF(U$23&lt;PROD!$H$10,PROD!$G$20,IF(U$23&lt;PROD!$I$10,PROD!$H$20,IF(U$23&lt;PROD!$J$10,PROD!$I$20,PROD!$J$20))))</f>
        <v>0.57363418724279835</v>
      </c>
      <c r="V29" s="369">
        <f>IF(V$23=0,0,IF(V$23&lt;PROD!$H$10,PROD!$G$20,IF(V$23&lt;PROD!$I$10,PROD!$H$20,IF(V$23&lt;PROD!$J$10,PROD!$I$20,PROD!$J$20))))</f>
        <v>0.57363418724279835</v>
      </c>
      <c r="W29" s="369">
        <f>IF(W$23=0,0,IF(W$23&lt;PROD!$H$10,PROD!$G$20,IF(W$23&lt;PROD!$I$10,PROD!$H$20,IF(W$23&lt;PROD!$J$10,PROD!$I$20,PROD!$J$20))))</f>
        <v>0.57363418724279835</v>
      </c>
      <c r="X29" s="369">
        <f>IF(X$23=0,0,IF(X$23&lt;PROD!$H$10,PROD!$G$20,IF(X$23&lt;PROD!$I$10,PROD!$H$20,IF(X$23&lt;PROD!$J$10,PROD!$I$20,PROD!$J$20))))</f>
        <v>0.57363418724279835</v>
      </c>
      <c r="Y29" s="369">
        <f>IF(Y$23=0,0,IF(Y$23&lt;PROD!$H$10,PROD!$G$20,IF(Y$23&lt;PROD!$I$10,PROD!$H$20,IF(Y$23&lt;PROD!$J$10,PROD!$I$20,PROD!$J$20))))</f>
        <v>0.57363418724279835</v>
      </c>
      <c r="Z29" s="369">
        <f>IF(Z$23=0,0,IF(Z$23&lt;PROD!$H$10,PROD!$G$20,IF(Z$23&lt;PROD!$I$10,PROD!$H$20,IF(Z$23&lt;PROD!$J$10,PROD!$I$20,PROD!$J$20))))</f>
        <v>0.46282470370370371</v>
      </c>
      <c r="AA29" s="369">
        <f>IF(AA$23=0,0,IF(AA$23&lt;PROD!$H$10,PROD!$G$20,IF(AA$23&lt;PROD!$I$10,PROD!$H$20,IF(AA$23&lt;PROD!$J$10,PROD!$I$20,PROD!$J$20))))</f>
        <v>0.46282470370370371</v>
      </c>
      <c r="AB29" s="369">
        <f>IF(AB$23=0,0,IF(AB$23&lt;PROD!$H$10,PROD!$G$20,IF(AB$23&lt;PROD!$I$10,PROD!$H$20,IF(AB$23&lt;PROD!$J$10,PROD!$I$20,PROD!$J$20))))</f>
        <v>0.46282470370370371</v>
      </c>
      <c r="AC29" s="369">
        <f>IF(AC$23=0,0,IF(AC$23&lt;PROD!$H$10,PROD!$G$20,IF(AC$23&lt;PROD!$I$10,PROD!$H$20,IF(AC$23&lt;PROD!$J$10,PROD!$I$20,PROD!$J$20))))</f>
        <v>0.46282470370370371</v>
      </c>
      <c r="AD29" s="369">
        <f>IF(AD$23=0,0,IF(AD$23&lt;PROD!$H$10,PROD!$G$20,IF(AD$23&lt;PROD!$I$10,PROD!$H$20,IF(AD$23&lt;PROD!$J$10,PROD!$I$20,PROD!$J$20))))</f>
        <v>0.46282470370370371</v>
      </c>
      <c r="AE29" s="369">
        <f>IF(AE$23=0,0,IF(AE$23&lt;PROD!$H$10,PROD!$G$20,IF(AE$23&lt;PROD!$I$10,PROD!$H$20,IF(AE$23&lt;PROD!$J$10,PROD!$I$20,PROD!$J$20))))</f>
        <v>0.3938681358024691</v>
      </c>
      <c r="AF29" s="369">
        <f>IF(AF$23=0,0,IF(AF$23&lt;PROD!$H$10,PROD!$G$20,IF(AF$23&lt;PROD!$I$10,PROD!$H$20,IF(AF$23&lt;PROD!$J$10,PROD!$I$20,PROD!$J$20))))</f>
        <v>0.3938681358024691</v>
      </c>
      <c r="AG29" s="369">
        <f>IF(AG$23=0,0,IF(AG$23&lt;PROD!$H$10,PROD!$G$20,IF(AG$23&lt;PROD!$I$10,PROD!$H$20,IF(AG$23&lt;PROD!$J$10,PROD!$I$20,PROD!$J$20))))</f>
        <v>0.35551775720164608</v>
      </c>
      <c r="AH29" s="369">
        <f>IF(AH$23=0,0,IF(AH$23&lt;PROD!$H$10,PROD!$G$20,IF(AH$23&lt;PROD!$I$10,PROD!$H$20,IF(AH$23&lt;PROD!$J$10,PROD!$I$20,PROD!$J$20))))</f>
        <v>0.35551775720164608</v>
      </c>
      <c r="AI29" s="369">
        <f>IF(AI$23=0,0,IF(AI$23&lt;PROD!$H$10,PROD!$G$20,IF(AI$23&lt;PROD!$I$10,PROD!$H$20,IF(AI$23&lt;PROD!$J$10,PROD!$I$20,PROD!$J$20))))</f>
        <v>0.35551775720164608</v>
      </c>
      <c r="AJ29" s="369">
        <f>IF(AJ$23=0,0,IF(AJ$23&lt;PROD!$H$10,PROD!$G$20,IF(AJ$23&lt;PROD!$I$10,PROD!$H$20,IF(AJ$23&lt;PROD!$J$10,PROD!$I$20,PROD!$J$20))))</f>
        <v>0.35551775720164608</v>
      </c>
      <c r="AK29" s="369">
        <f>IF(AK$23=0,0,IF(AK$23&lt;PROD!$H$10,PROD!$G$20,IF(AK$23&lt;PROD!$I$10,PROD!$H$20,IF(AK$23&lt;PROD!$J$10,PROD!$I$20,PROD!$J$20))))</f>
        <v>0.35551775720164608</v>
      </c>
      <c r="AL29" s="369">
        <f>IF(AL$23=0,0,IF(AL$23&lt;PROD!$H$10,PROD!$G$20,IF(AL$23&lt;PROD!$I$10,PROD!$H$20,IF(AL$23&lt;PROD!$J$10,PROD!$I$20,PROD!$J$20))))</f>
        <v>0.35551775720164608</v>
      </c>
      <c r="AM29" s="369">
        <f>IF(AM$23=0,0,IF(AM$23&lt;PROD!$H$10,PROD!$G$20,IF(AM$23&lt;PROD!$I$10,PROD!$H$20,IF(AM$23&lt;PROD!$J$10,PROD!$I$20,PROD!$J$20))))</f>
        <v>0.35551775720164608</v>
      </c>
      <c r="AN29" s="369">
        <f>IF(AN$23=0,0,IF(AN$23&lt;PROD!$H$10,PROD!$G$20,IF(AN$23&lt;PROD!$I$10,PROD!$H$20,IF(AN$23&lt;PROD!$J$10,PROD!$I$20,PROD!$J$20))))</f>
        <v>0.35551775720164608</v>
      </c>
      <c r="AO29" s="369">
        <f>IF(AO$23=0,0,IF(AO$23&lt;PROD!$H$10,PROD!$G$20,IF(AO$23&lt;PROD!$I$10,PROD!$H$20,IF(AO$23&lt;PROD!$J$10,PROD!$I$20,PROD!$J$20))))</f>
        <v>0.35551775720164608</v>
      </c>
      <c r="AP29" s="369">
        <f>IF(AP$23=0,0,IF(AP$23&lt;PROD!$H$10,PROD!$G$20,IF(AP$23&lt;PROD!$I$10,PROD!$H$20,IF(AP$23&lt;PROD!$J$10,PROD!$I$20,PROD!$J$20))))</f>
        <v>0.35551775720164608</v>
      </c>
      <c r="AQ29" s="369">
        <f>IF(AQ$23=0,0,IF(AQ$23&lt;PROD!$H$10,PROD!$G$20,IF(AQ$23&lt;PROD!$I$10,PROD!$H$20,IF(AQ$23&lt;PROD!$J$10,PROD!$I$20,PROD!$J$20))))</f>
        <v>0.35551775720164608</v>
      </c>
      <c r="AR29" s="369">
        <f>IF(AR$23=0,0,IF(AR$23&lt;PROD!$H$10,PROD!$G$20,IF(AR$23&lt;PROD!$I$10,PROD!$H$20,IF(AR$23&lt;PROD!$J$10,PROD!$I$20,PROD!$J$20))))</f>
        <v>0.35551775720164608</v>
      </c>
      <c r="AS29" s="369">
        <f>IF(AS$23=0,0,IF(AS$23&lt;PROD!$H$10,PROD!$G$20,IF(AS$23&lt;PROD!$I$10,PROD!$H$20,IF(AS$23&lt;PROD!$J$10,PROD!$I$20,PROD!$J$20))))</f>
        <v>0.35551775720164608</v>
      </c>
      <c r="AT29" s="369">
        <f>IF(AT$23=0,0,IF(AT$23&lt;PROD!$H$10,PROD!$G$20,IF(AT$23&lt;PROD!$I$10,PROD!$H$20,IF(AT$23&lt;PROD!$J$10,PROD!$I$20,PROD!$J$20))))</f>
        <v>0.35551775720164608</v>
      </c>
      <c r="AU29" s="369">
        <f>IF(AU$23=0,0,IF(AU$23&lt;PROD!$H$10,PROD!$G$20,IF(AU$23&lt;PROD!$I$10,PROD!$H$20,IF(AU$23&lt;PROD!$J$10,PROD!$I$20,PROD!$J$20))))</f>
        <v>0.35551775720164608</v>
      </c>
      <c r="AV29" s="369">
        <f>IF(AV$23=0,0,IF(AV$23&lt;PROD!$H$10,PROD!$G$20,IF(AV$23&lt;PROD!$I$10,PROD!$H$20,IF(AV$23&lt;PROD!$J$10,PROD!$I$20,PROD!$J$20))))</f>
        <v>0.35551775720164608</v>
      </c>
      <c r="AW29" s="369">
        <f>IF(AW$23=0,0,IF(AW$23&lt;PROD!$H$10,PROD!$G$20,IF(AW$23&lt;PROD!$I$10,PROD!$H$20,IF(AW$23&lt;PROD!$J$10,PROD!$I$20,PROD!$J$20))))</f>
        <v>0.35551775720164608</v>
      </c>
      <c r="AX29" s="369">
        <f>IF(AX$23=0,0,IF(AX$23&lt;PROD!$H$10,PROD!$G$20,IF(AX$23&lt;PROD!$I$10,PROD!$H$20,IF(AX$23&lt;PROD!$J$10,PROD!$I$20,PROD!$J$20))))</f>
        <v>0.35551775720164608</v>
      </c>
      <c r="AY29" s="369">
        <f>IF(AY$23=0,0,IF(AY$23&lt;PROD!$H$10,PROD!$G$20,IF(AY$23&lt;PROD!$I$10,PROD!$H$20,IF(AY$23&lt;PROD!$J$10,PROD!$I$20,PROD!$J$20))))</f>
        <v>0.35551775720164608</v>
      </c>
      <c r="AZ29" s="369">
        <f>IF(AZ$23=0,0,IF(AZ$23&lt;PROD!$H$10,PROD!$G$20,IF(AZ$23&lt;PROD!$I$10,PROD!$H$20,IF(AZ$23&lt;PROD!$J$10,PROD!$I$20,PROD!$J$20))))</f>
        <v>0.35551775720164608</v>
      </c>
      <c r="BA29" s="369">
        <f>IF(BA$23=0,0,IF(BA$23&lt;PROD!$H$10,PROD!$G$20,IF(BA$23&lt;PROD!$I$10,PROD!$H$20,IF(BA$23&lt;PROD!$J$10,PROD!$I$20,PROD!$J$20))))</f>
        <v>0.35551775720164608</v>
      </c>
      <c r="BB29" s="369">
        <f>IF(BB$23=0,0,IF(BB$23&lt;PROD!$H$10,PROD!$G$20,IF(BB$23&lt;PROD!$I$10,PROD!$H$20,IF(BB$23&lt;PROD!$J$10,PROD!$I$20,PROD!$J$20))))</f>
        <v>0.35551775720164608</v>
      </c>
      <c r="BC29" s="369">
        <f>IF(BC$23=0,0,IF(BC$23&lt;PROD!$H$10,PROD!$G$20,IF(BC$23&lt;PROD!$I$10,PROD!$H$20,IF(BC$23&lt;PROD!$J$10,PROD!$I$20,PROD!$J$20))))</f>
        <v>0.35551775720164608</v>
      </c>
      <c r="BD29" s="369">
        <f>IF(BD$23=0,0,IF(BD$23&lt;PROD!$H$10,PROD!$G$20,IF(BD$23&lt;PROD!$I$10,PROD!$H$20,IF(BD$23&lt;PROD!$J$10,PROD!$I$20,PROD!$J$20))))</f>
        <v>0.35551775720164608</v>
      </c>
      <c r="BE29" s="369">
        <f>IF(BE$23=0,0,IF(BE$23&lt;PROD!$H$10,PROD!$G$20,IF(BE$23&lt;PROD!$I$10,PROD!$H$20,IF(BE$23&lt;PROD!$J$10,PROD!$I$20,PROD!$J$20))))</f>
        <v>0.35551775720164608</v>
      </c>
      <c r="BF29" s="369">
        <f>IF(BF$23=0,0,IF(BF$23&lt;PROD!$H$10,PROD!$G$20,IF(BF$23&lt;PROD!$I$10,PROD!$H$20,IF(BF$23&lt;PROD!$J$10,PROD!$I$20,PROD!$J$20))))</f>
        <v>0.35551775720164608</v>
      </c>
      <c r="BG29" s="369">
        <f>IF(BG$23=0,0,IF(BG$23&lt;PROD!$H$10,PROD!$G$20,IF(BG$23&lt;PROD!$I$10,PROD!$H$20,IF(BG$23&lt;PROD!$J$10,PROD!$I$20,PROD!$J$20))))</f>
        <v>0.35551775720164608</v>
      </c>
      <c r="BH29" s="369">
        <f>IF(BH$23=0,0,IF(BH$23&lt;PROD!$H$10,PROD!$G$20,IF(BH$23&lt;PROD!$I$10,PROD!$H$20,IF(BH$23&lt;PROD!$J$10,PROD!$I$20,PROD!$J$20))))</f>
        <v>0.35551775720164608</v>
      </c>
      <c r="BI29" s="369">
        <f>IF(BI$23=0,0,IF(BI$23&lt;PROD!$H$10,PROD!$G$20,IF(BI$23&lt;PROD!$I$10,PROD!$H$20,IF(BI$23&lt;PROD!$J$10,PROD!$I$20,PROD!$J$20))))</f>
        <v>0.35551775720164608</v>
      </c>
      <c r="BJ29" s="369">
        <f>IF(BJ$23=0,0,IF(BJ$23&lt;PROD!$H$10,PROD!$G$20,IF(BJ$23&lt;PROD!$I$10,PROD!$H$20,IF(BJ$23&lt;PROD!$J$10,PROD!$I$20,PROD!$J$20))))</f>
        <v>0.35551775720164608</v>
      </c>
      <c r="BK29" s="369">
        <f>IF(BK$23=0,0,IF(BK$23&lt;PROD!$H$10,PROD!$G$20,IF(BK$23&lt;PROD!$I$10,PROD!$H$20,IF(BK$23&lt;PROD!$J$10,PROD!$I$20,PROD!$J$20))))</f>
        <v>0.35551775720164608</v>
      </c>
      <c r="BL29" s="369">
        <f>IF(BL$23=0,0,IF(BL$23&lt;PROD!$H$10,PROD!$G$20,IF(BL$23&lt;PROD!$I$10,PROD!$H$20,IF(BL$23&lt;PROD!$J$10,PROD!$I$20,PROD!$J$20))))</f>
        <v>0.35551775720164608</v>
      </c>
      <c r="BM29" s="369">
        <f>IF(BM$23=0,0,IF(BM$23&lt;PROD!$H$10,PROD!$G$20,IF(BM$23&lt;PROD!$I$10,PROD!$H$20,IF(BM$23&lt;PROD!$J$10,PROD!$I$20,PROD!$J$20))))</f>
        <v>0.35551775720164608</v>
      </c>
      <c r="BN29" s="369">
        <f>IF(BN$23=0,0,IF(BN$23&lt;PROD!$H$10,PROD!$G$20,IF(BN$23&lt;PROD!$I$10,PROD!$H$20,IF(BN$23&lt;PROD!$J$10,PROD!$I$20,PROD!$J$20))))</f>
        <v>0.35551775720164608</v>
      </c>
      <c r="BO29" s="369">
        <f>IF(BO$23=0,0,IF(BO$23&lt;PROD!$H$10,PROD!$G$20,IF(BO$23&lt;PROD!$I$10,PROD!$H$20,IF(BO$23&lt;PROD!$J$10,PROD!$I$20,PROD!$J$20))))</f>
        <v>0.35551775720164608</v>
      </c>
      <c r="BP29" s="369">
        <f>IF(BP$23=0,0,IF(BP$23&lt;PROD!$H$10,PROD!$G$20,IF(BP$23&lt;PROD!$I$10,PROD!$H$20,IF(BP$23&lt;PROD!$J$10,PROD!$I$20,PROD!$J$20))))</f>
        <v>0.35551775720164608</v>
      </c>
      <c r="BQ29" s="369">
        <f>IF(BQ$23=0,0,IF(BQ$23&lt;PROD!$H$10,PROD!$G$20,IF(BQ$23&lt;PROD!$I$10,PROD!$H$20,IF(BQ$23&lt;PROD!$J$10,PROD!$I$20,PROD!$J$20))))</f>
        <v>0.35551775720164608</v>
      </c>
      <c r="BR29" s="369">
        <f>IF(BR$23=0,0,IF(BR$23&lt;PROD!$H$10,PROD!$G$20,IF(BR$23&lt;PROD!$I$10,PROD!$H$20,IF(BR$23&lt;PROD!$J$10,PROD!$I$20,PROD!$J$20))))</f>
        <v>0.35551775720164608</v>
      </c>
      <c r="BS29" s="369">
        <f>IF(BS$23=0,0,IF(BS$23&lt;PROD!$H$10,PROD!$G$20,IF(BS$23&lt;PROD!$I$10,PROD!$H$20,IF(BS$23&lt;PROD!$J$10,PROD!$I$20,PROD!$J$20))))</f>
        <v>0.35551775720164608</v>
      </c>
      <c r="BT29" s="301" t="s">
        <v>321</v>
      </c>
    </row>
    <row r="30" spans="1:72" s="155" customFormat="1">
      <c r="A30" s="150"/>
      <c r="B30" s="151" t="str">
        <f>B22</f>
        <v>PRODUCT 5</v>
      </c>
      <c r="C30" s="152"/>
      <c r="D30" s="303">
        <f t="shared" si="43"/>
        <v>0.43022564043209877</v>
      </c>
      <c r="E30" s="303">
        <f t="shared" si="44"/>
        <v>0.44297345301783264</v>
      </c>
      <c r="F30" s="303">
        <f t="shared" si="45"/>
        <v>0.35551775720164608</v>
      </c>
      <c r="G30" s="303">
        <f t="shared" si="46"/>
        <v>0.35551775720164608</v>
      </c>
      <c r="H30" s="303">
        <f t="shared" si="47"/>
        <v>0.35551775720164608</v>
      </c>
      <c r="I30" s="303"/>
      <c r="J30" s="100"/>
      <c r="K30" s="99"/>
      <c r="L30" s="369">
        <f>IF(L$23=0,0,IF(L$23&lt;PROD!$H$10,PROD!$G$20,IF(L$23&lt;PROD!$I$10,PROD!$H$20,IF(L$23&lt;PROD!$J$10,PROD!$I$20,PROD!$J$20))))</f>
        <v>0</v>
      </c>
      <c r="M30" s="369">
        <f>IF(M$23=0,0,IF(M$23&lt;PROD!$H$10,PROD!$G$20,IF(M$23&lt;PROD!$I$10,PROD!$H$20,IF(M$23&lt;PROD!$J$10,PROD!$I$20,PROD!$J$20))))</f>
        <v>0</v>
      </c>
      <c r="N30" s="369">
        <f>IF(N$23=0,0,IF(N$23&lt;PROD!$H$10,PROD!$G$20,IF(N$23&lt;PROD!$I$10,PROD!$H$20,IF(N$23&lt;PROD!$J$10,PROD!$I$20,PROD!$J$20))))</f>
        <v>0</v>
      </c>
      <c r="O30" s="369">
        <f>IF(O$23=0,0,IF(O$23&lt;PROD!$H$10,PROD!$G$20,IF(O$23&lt;PROD!$I$10,PROD!$H$20,IF(O$23&lt;PROD!$J$10,PROD!$I$20,PROD!$J$20))))</f>
        <v>0.57363418724279835</v>
      </c>
      <c r="P30" s="369">
        <f>IF(P$23=0,0,IF(P$23&lt;PROD!$H$10,PROD!$G$20,IF(P$23&lt;PROD!$I$10,PROD!$H$20,IF(P$23&lt;PROD!$J$10,PROD!$I$20,PROD!$J$20))))</f>
        <v>0.57363418724279835</v>
      </c>
      <c r="Q30" s="369">
        <f>IF(Q$23=0,0,IF(Q$23&lt;PROD!$H$10,PROD!$G$20,IF(Q$23&lt;PROD!$I$10,PROD!$H$20,IF(Q$23&lt;PROD!$J$10,PROD!$I$20,PROD!$J$20))))</f>
        <v>0.57363418724279835</v>
      </c>
      <c r="R30" s="369">
        <f>IF(R$23=0,0,IF(R$23&lt;PROD!$H$10,PROD!$G$20,IF(R$23&lt;PROD!$I$10,PROD!$H$20,IF(R$23&lt;PROD!$J$10,PROD!$I$20,PROD!$J$20))))</f>
        <v>0.57363418724279835</v>
      </c>
      <c r="S30" s="369">
        <f>IF(S$23=0,0,IF(S$23&lt;PROD!$H$10,PROD!$G$20,IF(S$23&lt;PROD!$I$10,PROD!$H$20,IF(S$23&lt;PROD!$J$10,PROD!$I$20,PROD!$J$20))))</f>
        <v>0.57363418724279835</v>
      </c>
      <c r="T30" s="369">
        <f>IF(T$23=0,0,IF(T$23&lt;PROD!$H$10,PROD!$G$20,IF(T$23&lt;PROD!$I$10,PROD!$H$20,IF(T$23&lt;PROD!$J$10,PROD!$I$20,PROD!$J$20))))</f>
        <v>0.57363418724279835</v>
      </c>
      <c r="U30" s="369">
        <f>IF(U$23=0,0,IF(U$23&lt;PROD!$H$10,PROD!$G$20,IF(U$23&lt;PROD!$I$10,PROD!$H$20,IF(U$23&lt;PROD!$J$10,PROD!$I$20,PROD!$J$20))))</f>
        <v>0.57363418724279835</v>
      </c>
      <c r="V30" s="369">
        <f>IF(V$23=0,0,IF(V$23&lt;PROD!$H$10,PROD!$G$20,IF(V$23&lt;PROD!$I$10,PROD!$H$20,IF(V$23&lt;PROD!$J$10,PROD!$I$20,PROD!$J$20))))</f>
        <v>0.57363418724279835</v>
      </c>
      <c r="W30" s="369">
        <f>IF(W$23=0,0,IF(W$23&lt;PROD!$H$10,PROD!$G$20,IF(W$23&lt;PROD!$I$10,PROD!$H$20,IF(W$23&lt;PROD!$J$10,PROD!$I$20,PROD!$J$20))))</f>
        <v>0.57363418724279835</v>
      </c>
      <c r="X30" s="369">
        <f>IF(X$23=0,0,IF(X$23&lt;PROD!$H$10,PROD!$G$20,IF(X$23&lt;PROD!$I$10,PROD!$H$20,IF(X$23&lt;PROD!$J$10,PROD!$I$20,PROD!$J$20))))</f>
        <v>0.57363418724279835</v>
      </c>
      <c r="Y30" s="369">
        <f>IF(Y$23=0,0,IF(Y$23&lt;PROD!$H$10,PROD!$G$20,IF(Y$23&lt;PROD!$I$10,PROD!$H$20,IF(Y$23&lt;PROD!$J$10,PROD!$I$20,PROD!$J$20))))</f>
        <v>0.57363418724279835</v>
      </c>
      <c r="Z30" s="369">
        <f>IF(Z$23=0,0,IF(Z$23&lt;PROD!$H$10,PROD!$G$20,IF(Z$23&lt;PROD!$I$10,PROD!$H$20,IF(Z$23&lt;PROD!$J$10,PROD!$I$20,PROD!$J$20))))</f>
        <v>0.46282470370370371</v>
      </c>
      <c r="AA30" s="369">
        <f>IF(AA$23=0,0,IF(AA$23&lt;PROD!$H$10,PROD!$G$20,IF(AA$23&lt;PROD!$I$10,PROD!$H$20,IF(AA$23&lt;PROD!$J$10,PROD!$I$20,PROD!$J$20))))</f>
        <v>0.46282470370370371</v>
      </c>
      <c r="AB30" s="369">
        <f>IF(AB$23=0,0,IF(AB$23&lt;PROD!$H$10,PROD!$G$20,IF(AB$23&lt;PROD!$I$10,PROD!$H$20,IF(AB$23&lt;PROD!$J$10,PROD!$I$20,PROD!$J$20))))</f>
        <v>0.46282470370370371</v>
      </c>
      <c r="AC30" s="369">
        <f>IF(AC$23=0,0,IF(AC$23&lt;PROD!$H$10,PROD!$G$20,IF(AC$23&lt;PROD!$I$10,PROD!$H$20,IF(AC$23&lt;PROD!$J$10,PROD!$I$20,PROD!$J$20))))</f>
        <v>0.46282470370370371</v>
      </c>
      <c r="AD30" s="369">
        <f>IF(AD$23=0,0,IF(AD$23&lt;PROD!$H$10,PROD!$G$20,IF(AD$23&lt;PROD!$I$10,PROD!$H$20,IF(AD$23&lt;PROD!$J$10,PROD!$I$20,PROD!$J$20))))</f>
        <v>0.46282470370370371</v>
      </c>
      <c r="AE30" s="369">
        <f>IF(AE$23=0,0,IF(AE$23&lt;PROD!$H$10,PROD!$G$20,IF(AE$23&lt;PROD!$I$10,PROD!$H$20,IF(AE$23&lt;PROD!$J$10,PROD!$I$20,PROD!$J$20))))</f>
        <v>0.3938681358024691</v>
      </c>
      <c r="AF30" s="369">
        <f>IF(AF$23=0,0,IF(AF$23&lt;PROD!$H$10,PROD!$G$20,IF(AF$23&lt;PROD!$I$10,PROD!$H$20,IF(AF$23&lt;PROD!$J$10,PROD!$I$20,PROD!$J$20))))</f>
        <v>0.3938681358024691</v>
      </c>
      <c r="AG30" s="369">
        <f>IF(AG$23=0,0,IF(AG$23&lt;PROD!$H$10,PROD!$G$20,IF(AG$23&lt;PROD!$I$10,PROD!$H$20,IF(AG$23&lt;PROD!$J$10,PROD!$I$20,PROD!$J$20))))</f>
        <v>0.35551775720164608</v>
      </c>
      <c r="AH30" s="369">
        <f>IF(AH$23=0,0,IF(AH$23&lt;PROD!$H$10,PROD!$G$20,IF(AH$23&lt;PROD!$I$10,PROD!$H$20,IF(AH$23&lt;PROD!$J$10,PROD!$I$20,PROD!$J$20))))</f>
        <v>0.35551775720164608</v>
      </c>
      <c r="AI30" s="369">
        <f>IF(AI$23=0,0,IF(AI$23&lt;PROD!$H$10,PROD!$G$20,IF(AI$23&lt;PROD!$I$10,PROD!$H$20,IF(AI$23&lt;PROD!$J$10,PROD!$I$20,PROD!$J$20))))</f>
        <v>0.35551775720164608</v>
      </c>
      <c r="AJ30" s="369">
        <f>IF(AJ$23=0,0,IF(AJ$23&lt;PROD!$H$10,PROD!$G$20,IF(AJ$23&lt;PROD!$I$10,PROD!$H$20,IF(AJ$23&lt;PROD!$J$10,PROD!$I$20,PROD!$J$20))))</f>
        <v>0.35551775720164608</v>
      </c>
      <c r="AK30" s="369">
        <f>IF(AK$23=0,0,IF(AK$23&lt;PROD!$H$10,PROD!$G$20,IF(AK$23&lt;PROD!$I$10,PROD!$H$20,IF(AK$23&lt;PROD!$J$10,PROD!$I$20,PROD!$J$20))))</f>
        <v>0.35551775720164608</v>
      </c>
      <c r="AL30" s="369">
        <f>IF(AL$23=0,0,IF(AL$23&lt;PROD!$H$10,PROD!$G$20,IF(AL$23&lt;PROD!$I$10,PROD!$H$20,IF(AL$23&lt;PROD!$J$10,PROD!$I$20,PROD!$J$20))))</f>
        <v>0.35551775720164608</v>
      </c>
      <c r="AM30" s="369">
        <f>IF(AM$23=0,0,IF(AM$23&lt;PROD!$H$10,PROD!$G$20,IF(AM$23&lt;PROD!$I$10,PROD!$H$20,IF(AM$23&lt;PROD!$J$10,PROD!$I$20,PROD!$J$20))))</f>
        <v>0.35551775720164608</v>
      </c>
      <c r="AN30" s="369">
        <f>IF(AN$23=0,0,IF(AN$23&lt;PROD!$H$10,PROD!$G$20,IF(AN$23&lt;PROD!$I$10,PROD!$H$20,IF(AN$23&lt;PROD!$J$10,PROD!$I$20,PROD!$J$20))))</f>
        <v>0.35551775720164608</v>
      </c>
      <c r="AO30" s="369">
        <f>IF(AO$23=0,0,IF(AO$23&lt;PROD!$H$10,PROD!$G$20,IF(AO$23&lt;PROD!$I$10,PROD!$H$20,IF(AO$23&lt;PROD!$J$10,PROD!$I$20,PROD!$J$20))))</f>
        <v>0.35551775720164608</v>
      </c>
      <c r="AP30" s="369">
        <f>IF(AP$23=0,0,IF(AP$23&lt;PROD!$H$10,PROD!$G$20,IF(AP$23&lt;PROD!$I$10,PROD!$H$20,IF(AP$23&lt;PROD!$J$10,PROD!$I$20,PROD!$J$20))))</f>
        <v>0.35551775720164608</v>
      </c>
      <c r="AQ30" s="369">
        <f>IF(AQ$23=0,0,IF(AQ$23&lt;PROD!$H$10,PROD!$G$20,IF(AQ$23&lt;PROD!$I$10,PROD!$H$20,IF(AQ$23&lt;PROD!$J$10,PROD!$I$20,PROD!$J$20))))</f>
        <v>0.35551775720164608</v>
      </c>
      <c r="AR30" s="369">
        <f>IF(AR$23=0,0,IF(AR$23&lt;PROD!$H$10,PROD!$G$20,IF(AR$23&lt;PROD!$I$10,PROD!$H$20,IF(AR$23&lt;PROD!$J$10,PROD!$I$20,PROD!$J$20))))</f>
        <v>0.35551775720164608</v>
      </c>
      <c r="AS30" s="369">
        <f>IF(AS$23=0,0,IF(AS$23&lt;PROD!$H$10,PROD!$G$20,IF(AS$23&lt;PROD!$I$10,PROD!$H$20,IF(AS$23&lt;PROD!$J$10,PROD!$I$20,PROD!$J$20))))</f>
        <v>0.35551775720164608</v>
      </c>
      <c r="AT30" s="369">
        <f>IF(AT$23=0,0,IF(AT$23&lt;PROD!$H$10,PROD!$G$20,IF(AT$23&lt;PROD!$I$10,PROD!$H$20,IF(AT$23&lt;PROD!$J$10,PROD!$I$20,PROD!$J$20))))</f>
        <v>0.35551775720164608</v>
      </c>
      <c r="AU30" s="369">
        <f>IF(AU$23=0,0,IF(AU$23&lt;PROD!$H$10,PROD!$G$20,IF(AU$23&lt;PROD!$I$10,PROD!$H$20,IF(AU$23&lt;PROD!$J$10,PROD!$I$20,PROD!$J$20))))</f>
        <v>0.35551775720164608</v>
      </c>
      <c r="AV30" s="369">
        <f>IF(AV$23=0,0,IF(AV$23&lt;PROD!$H$10,PROD!$G$20,IF(AV$23&lt;PROD!$I$10,PROD!$H$20,IF(AV$23&lt;PROD!$J$10,PROD!$I$20,PROD!$J$20))))</f>
        <v>0.35551775720164608</v>
      </c>
      <c r="AW30" s="369">
        <f>IF(AW$23=0,0,IF(AW$23&lt;PROD!$H$10,PROD!$G$20,IF(AW$23&lt;PROD!$I$10,PROD!$H$20,IF(AW$23&lt;PROD!$J$10,PROD!$I$20,PROD!$J$20))))</f>
        <v>0.35551775720164608</v>
      </c>
      <c r="AX30" s="369">
        <f>IF(AX$23=0,0,IF(AX$23&lt;PROD!$H$10,PROD!$G$20,IF(AX$23&lt;PROD!$I$10,PROD!$H$20,IF(AX$23&lt;PROD!$J$10,PROD!$I$20,PROD!$J$20))))</f>
        <v>0.35551775720164608</v>
      </c>
      <c r="AY30" s="369">
        <f>IF(AY$23=0,0,IF(AY$23&lt;PROD!$H$10,PROD!$G$20,IF(AY$23&lt;PROD!$I$10,PROD!$H$20,IF(AY$23&lt;PROD!$J$10,PROD!$I$20,PROD!$J$20))))</f>
        <v>0.35551775720164608</v>
      </c>
      <c r="AZ30" s="369">
        <f>IF(AZ$23=0,0,IF(AZ$23&lt;PROD!$H$10,PROD!$G$20,IF(AZ$23&lt;PROD!$I$10,PROD!$H$20,IF(AZ$23&lt;PROD!$J$10,PROD!$I$20,PROD!$J$20))))</f>
        <v>0.35551775720164608</v>
      </c>
      <c r="BA30" s="369">
        <f>IF(BA$23=0,0,IF(BA$23&lt;PROD!$H$10,PROD!$G$20,IF(BA$23&lt;PROD!$I$10,PROD!$H$20,IF(BA$23&lt;PROD!$J$10,PROD!$I$20,PROD!$J$20))))</f>
        <v>0.35551775720164608</v>
      </c>
      <c r="BB30" s="369">
        <f>IF(BB$23=0,0,IF(BB$23&lt;PROD!$H$10,PROD!$G$20,IF(BB$23&lt;PROD!$I$10,PROD!$H$20,IF(BB$23&lt;PROD!$J$10,PROD!$I$20,PROD!$J$20))))</f>
        <v>0.35551775720164608</v>
      </c>
      <c r="BC30" s="369">
        <f>IF(BC$23=0,0,IF(BC$23&lt;PROD!$H$10,PROD!$G$20,IF(BC$23&lt;PROD!$I$10,PROD!$H$20,IF(BC$23&lt;PROD!$J$10,PROD!$I$20,PROD!$J$20))))</f>
        <v>0.35551775720164608</v>
      </c>
      <c r="BD30" s="369">
        <f>IF(BD$23=0,0,IF(BD$23&lt;PROD!$H$10,PROD!$G$20,IF(BD$23&lt;PROD!$I$10,PROD!$H$20,IF(BD$23&lt;PROD!$J$10,PROD!$I$20,PROD!$J$20))))</f>
        <v>0.35551775720164608</v>
      </c>
      <c r="BE30" s="369">
        <f>IF(BE$23=0,0,IF(BE$23&lt;PROD!$H$10,PROD!$G$20,IF(BE$23&lt;PROD!$I$10,PROD!$H$20,IF(BE$23&lt;PROD!$J$10,PROD!$I$20,PROD!$J$20))))</f>
        <v>0.35551775720164608</v>
      </c>
      <c r="BF30" s="369">
        <f>IF(BF$23=0,0,IF(BF$23&lt;PROD!$H$10,PROD!$G$20,IF(BF$23&lt;PROD!$I$10,PROD!$H$20,IF(BF$23&lt;PROD!$J$10,PROD!$I$20,PROD!$J$20))))</f>
        <v>0.35551775720164608</v>
      </c>
      <c r="BG30" s="369">
        <f>IF(BG$23=0,0,IF(BG$23&lt;PROD!$H$10,PROD!$G$20,IF(BG$23&lt;PROD!$I$10,PROD!$H$20,IF(BG$23&lt;PROD!$J$10,PROD!$I$20,PROD!$J$20))))</f>
        <v>0.35551775720164608</v>
      </c>
      <c r="BH30" s="369">
        <f>IF(BH$23=0,0,IF(BH$23&lt;PROD!$H$10,PROD!$G$20,IF(BH$23&lt;PROD!$I$10,PROD!$H$20,IF(BH$23&lt;PROD!$J$10,PROD!$I$20,PROD!$J$20))))</f>
        <v>0.35551775720164608</v>
      </c>
      <c r="BI30" s="369">
        <f>IF(BI$23=0,0,IF(BI$23&lt;PROD!$H$10,PROD!$G$20,IF(BI$23&lt;PROD!$I$10,PROD!$H$20,IF(BI$23&lt;PROD!$J$10,PROD!$I$20,PROD!$J$20))))</f>
        <v>0.35551775720164608</v>
      </c>
      <c r="BJ30" s="369">
        <f>IF(BJ$23=0,0,IF(BJ$23&lt;PROD!$H$10,PROD!$G$20,IF(BJ$23&lt;PROD!$I$10,PROD!$H$20,IF(BJ$23&lt;PROD!$J$10,PROD!$I$20,PROD!$J$20))))</f>
        <v>0.35551775720164608</v>
      </c>
      <c r="BK30" s="369">
        <f>IF(BK$23=0,0,IF(BK$23&lt;PROD!$H$10,PROD!$G$20,IF(BK$23&lt;PROD!$I$10,PROD!$H$20,IF(BK$23&lt;PROD!$J$10,PROD!$I$20,PROD!$J$20))))</f>
        <v>0.35551775720164608</v>
      </c>
      <c r="BL30" s="369">
        <f>IF(BL$23=0,0,IF(BL$23&lt;PROD!$H$10,PROD!$G$20,IF(BL$23&lt;PROD!$I$10,PROD!$H$20,IF(BL$23&lt;PROD!$J$10,PROD!$I$20,PROD!$J$20))))</f>
        <v>0.35551775720164608</v>
      </c>
      <c r="BM30" s="369">
        <f>IF(BM$23=0,0,IF(BM$23&lt;PROD!$H$10,PROD!$G$20,IF(BM$23&lt;PROD!$I$10,PROD!$H$20,IF(BM$23&lt;PROD!$J$10,PROD!$I$20,PROD!$J$20))))</f>
        <v>0.35551775720164608</v>
      </c>
      <c r="BN30" s="369">
        <f>IF(BN$23=0,0,IF(BN$23&lt;PROD!$H$10,PROD!$G$20,IF(BN$23&lt;PROD!$I$10,PROD!$H$20,IF(BN$23&lt;PROD!$J$10,PROD!$I$20,PROD!$J$20))))</f>
        <v>0.35551775720164608</v>
      </c>
      <c r="BO30" s="369">
        <f>IF(BO$23=0,0,IF(BO$23&lt;PROD!$H$10,PROD!$G$20,IF(BO$23&lt;PROD!$I$10,PROD!$H$20,IF(BO$23&lt;PROD!$J$10,PROD!$I$20,PROD!$J$20))))</f>
        <v>0.35551775720164608</v>
      </c>
      <c r="BP30" s="369">
        <f>IF(BP$23=0,0,IF(BP$23&lt;PROD!$H$10,PROD!$G$20,IF(BP$23&lt;PROD!$I$10,PROD!$H$20,IF(BP$23&lt;PROD!$J$10,PROD!$I$20,PROD!$J$20))))</f>
        <v>0.35551775720164608</v>
      </c>
      <c r="BQ30" s="369">
        <f>IF(BQ$23=0,0,IF(BQ$23&lt;PROD!$H$10,PROD!$G$20,IF(BQ$23&lt;PROD!$I$10,PROD!$H$20,IF(BQ$23&lt;PROD!$J$10,PROD!$I$20,PROD!$J$20))))</f>
        <v>0.35551775720164608</v>
      </c>
      <c r="BR30" s="369">
        <f>IF(BR$23=0,0,IF(BR$23&lt;PROD!$H$10,PROD!$G$20,IF(BR$23&lt;PROD!$I$10,PROD!$H$20,IF(BR$23&lt;PROD!$J$10,PROD!$I$20,PROD!$J$20))))</f>
        <v>0.35551775720164608</v>
      </c>
      <c r="BS30" s="369">
        <f>IF(BS$23=0,0,IF(BS$23&lt;PROD!$H$10,PROD!$G$20,IF(BS$23&lt;PROD!$I$10,PROD!$H$20,IF(BS$23&lt;PROD!$J$10,PROD!$I$20,PROD!$J$20))))</f>
        <v>0.35551775720164608</v>
      </c>
      <c r="BT30" s="301" t="s">
        <v>321</v>
      </c>
    </row>
    <row r="31" spans="1:72">
      <c r="A31" s="96"/>
      <c r="B31" s="97"/>
      <c r="C31" s="98"/>
      <c r="D31" s="100"/>
      <c r="E31" s="100"/>
      <c r="F31" s="100"/>
      <c r="G31" s="100"/>
      <c r="H31" s="100"/>
      <c r="I31" s="100"/>
      <c r="J31" s="100"/>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301" t="s">
        <v>321</v>
      </c>
    </row>
    <row r="32" spans="1:72">
      <c r="A32" s="96" t="s">
        <v>346</v>
      </c>
      <c r="B32" s="97"/>
      <c r="C32" s="98"/>
      <c r="D32" s="100"/>
      <c r="E32" s="100"/>
      <c r="F32" s="100"/>
      <c r="G32" s="100"/>
      <c r="H32" s="100"/>
      <c r="I32" s="100"/>
      <c r="J32" s="100"/>
      <c r="K32" s="156"/>
      <c r="L32" s="99"/>
      <c r="M32" s="157"/>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301" t="s">
        <v>321</v>
      </c>
    </row>
    <row r="33" spans="1:72">
      <c r="A33" s="96"/>
      <c r="B33" s="97" t="str">
        <f>B18</f>
        <v>PEP Straw 1</v>
      </c>
      <c r="C33" s="98"/>
      <c r="D33" s="99">
        <f>SUM(K33:W33)</f>
        <v>202206.06</v>
      </c>
      <c r="E33" s="99">
        <f>SUM(X33:AI33)</f>
        <v>1679068.75</v>
      </c>
      <c r="F33" s="67">
        <f>SUM(AJ33:AU33)</f>
        <v>3318733.73</v>
      </c>
      <c r="G33" s="67">
        <f>SUM(AV33:BG33)</f>
        <v>3993918.1300000004</v>
      </c>
      <c r="H33" s="67">
        <f>SUM(BH33:BS33)</f>
        <v>4742762.5900000008</v>
      </c>
      <c r="I33" s="67"/>
      <c r="J33" s="100"/>
      <c r="K33" s="67"/>
      <c r="L33" s="67">
        <f>ROUND(L26*L18,2)</f>
        <v>0</v>
      </c>
      <c r="M33" s="67">
        <f t="shared" ref="M33:BS33" si="48">ROUND(M26*M18,2)</f>
        <v>0</v>
      </c>
      <c r="N33" s="67">
        <f t="shared" si="48"/>
        <v>0</v>
      </c>
      <c r="O33" s="387">
        <f t="shared" si="48"/>
        <v>2868.17</v>
      </c>
      <c r="P33" s="67">
        <f t="shared" si="48"/>
        <v>4302.26</v>
      </c>
      <c r="Q33" s="67">
        <f t="shared" si="48"/>
        <v>5736.34</v>
      </c>
      <c r="R33" s="67">
        <f t="shared" si="48"/>
        <v>7170.43</v>
      </c>
      <c r="S33" s="67">
        <f t="shared" si="48"/>
        <v>22945.37</v>
      </c>
      <c r="T33" s="67">
        <f t="shared" si="48"/>
        <v>24379.45</v>
      </c>
      <c r="U33" s="67">
        <f t="shared" si="48"/>
        <v>25813.54</v>
      </c>
      <c r="V33" s="67">
        <f t="shared" si="48"/>
        <v>51627.08</v>
      </c>
      <c r="W33" s="67">
        <f t="shared" si="48"/>
        <v>57363.42</v>
      </c>
      <c r="X33" s="67">
        <f t="shared" si="48"/>
        <v>67688.83</v>
      </c>
      <c r="Y33" s="67">
        <f t="shared" si="48"/>
        <v>79872.820000000007</v>
      </c>
      <c r="Z33" s="67">
        <f t="shared" si="48"/>
        <v>76043.490000000005</v>
      </c>
      <c r="AA33" s="67">
        <f t="shared" si="48"/>
        <v>89731.53</v>
      </c>
      <c r="AB33" s="67">
        <f t="shared" si="48"/>
        <v>105883.18</v>
      </c>
      <c r="AC33" s="67">
        <f t="shared" si="48"/>
        <v>124942.31</v>
      </c>
      <c r="AD33" s="67">
        <f t="shared" si="48"/>
        <v>147431.88</v>
      </c>
      <c r="AE33" s="67">
        <f t="shared" si="48"/>
        <v>148049.91</v>
      </c>
      <c r="AF33" s="67">
        <f t="shared" si="48"/>
        <v>174699.03</v>
      </c>
      <c r="AG33" s="67">
        <f t="shared" si="48"/>
        <v>186072.66</v>
      </c>
      <c r="AH33" s="67">
        <f t="shared" si="48"/>
        <v>219565.63</v>
      </c>
      <c r="AI33" s="67">
        <f t="shared" si="48"/>
        <v>259087.48</v>
      </c>
      <c r="AJ33" s="67">
        <f t="shared" si="48"/>
        <v>261678.49</v>
      </c>
      <c r="AK33" s="67">
        <f t="shared" si="48"/>
        <v>264295.09999999998</v>
      </c>
      <c r="AL33" s="67">
        <f t="shared" si="48"/>
        <v>266938.02</v>
      </c>
      <c r="AM33" s="67">
        <f t="shared" si="48"/>
        <v>269607.25</v>
      </c>
      <c r="AN33" s="67">
        <f t="shared" si="48"/>
        <v>272303.49</v>
      </c>
      <c r="AO33" s="67">
        <f t="shared" si="48"/>
        <v>275026.40000000002</v>
      </c>
      <c r="AP33" s="67">
        <f t="shared" si="48"/>
        <v>277776.69</v>
      </c>
      <c r="AQ33" s="67">
        <f t="shared" si="48"/>
        <v>280554.34999999998</v>
      </c>
      <c r="AR33" s="67">
        <f t="shared" si="48"/>
        <v>283359.74</v>
      </c>
      <c r="AS33" s="67">
        <f t="shared" si="48"/>
        <v>286193.21999999997</v>
      </c>
      <c r="AT33" s="67">
        <f t="shared" si="48"/>
        <v>289055.13</v>
      </c>
      <c r="AU33" s="67">
        <f t="shared" si="48"/>
        <v>291945.84999999998</v>
      </c>
      <c r="AV33" s="67">
        <f t="shared" si="48"/>
        <v>297784.87</v>
      </c>
      <c r="AW33" s="67">
        <f t="shared" si="48"/>
        <v>303740.51</v>
      </c>
      <c r="AX33" s="67">
        <f t="shared" si="48"/>
        <v>309815.24</v>
      </c>
      <c r="AY33" s="67">
        <f t="shared" si="48"/>
        <v>316011.56</v>
      </c>
      <c r="AZ33" s="67">
        <f t="shared" si="48"/>
        <v>322331.95</v>
      </c>
      <c r="BA33" s="67">
        <f t="shared" si="48"/>
        <v>328778.56</v>
      </c>
      <c r="BB33" s="67">
        <f t="shared" si="48"/>
        <v>335354.21000000002</v>
      </c>
      <c r="BC33" s="67">
        <f t="shared" si="48"/>
        <v>342061.41</v>
      </c>
      <c r="BD33" s="67">
        <f t="shared" si="48"/>
        <v>348902.64</v>
      </c>
      <c r="BE33" s="67">
        <f t="shared" si="48"/>
        <v>355880.74</v>
      </c>
      <c r="BF33" s="67">
        <f t="shared" si="48"/>
        <v>362998.21</v>
      </c>
      <c r="BG33" s="67">
        <f t="shared" si="48"/>
        <v>370258.23</v>
      </c>
      <c r="BH33" s="67">
        <f t="shared" si="48"/>
        <v>373960.95</v>
      </c>
      <c r="BI33" s="67">
        <f t="shared" si="48"/>
        <v>377700.64</v>
      </c>
      <c r="BJ33" s="67">
        <f t="shared" si="48"/>
        <v>381477.66</v>
      </c>
      <c r="BK33" s="67">
        <f t="shared" si="48"/>
        <v>385292.37</v>
      </c>
      <c r="BL33" s="67">
        <f t="shared" si="48"/>
        <v>389145.47</v>
      </c>
      <c r="BM33" s="67">
        <f t="shared" si="48"/>
        <v>393036.97</v>
      </c>
      <c r="BN33" s="67">
        <f t="shared" si="48"/>
        <v>396967.22</v>
      </c>
      <c r="BO33" s="67">
        <f t="shared" si="48"/>
        <v>400936.93</v>
      </c>
      <c r="BP33" s="67">
        <f t="shared" si="48"/>
        <v>404946.46</v>
      </c>
      <c r="BQ33" s="67">
        <f t="shared" si="48"/>
        <v>408995.8</v>
      </c>
      <c r="BR33" s="67">
        <f t="shared" si="48"/>
        <v>413085.68</v>
      </c>
      <c r="BS33" s="67">
        <f t="shared" si="48"/>
        <v>417216.44</v>
      </c>
      <c r="BT33" s="301" t="s">
        <v>321</v>
      </c>
    </row>
    <row r="34" spans="1:72">
      <c r="A34" s="96"/>
      <c r="B34" s="97" t="str">
        <f>B19</f>
        <v>PEP Straw 2</v>
      </c>
      <c r="C34" s="98"/>
      <c r="D34" s="99">
        <f t="shared" ref="D34:D37" si="49">SUM(K34:W34)</f>
        <v>0</v>
      </c>
      <c r="E34" s="99">
        <f t="shared" ref="E34:E37" si="50">SUM(X34:AI34)</f>
        <v>0</v>
      </c>
      <c r="F34" s="67">
        <f t="shared" ref="F34:F37" si="51">SUM(AJ34:AU34)</f>
        <v>266090.45</v>
      </c>
      <c r="G34" s="67">
        <f t="shared" ref="G34:G37" si="52">SUM(AV34:BG34)</f>
        <v>727632.13</v>
      </c>
      <c r="H34" s="67">
        <f t="shared" ref="H34:H37" si="53">SUM(BH34:BS34)</f>
        <v>1223036.8899999999</v>
      </c>
      <c r="I34" s="67"/>
      <c r="J34" s="100"/>
      <c r="K34" s="67"/>
      <c r="L34" s="67">
        <f t="shared" ref="L34:BS34" si="54">ROUND(L27*L19,2)</f>
        <v>0</v>
      </c>
      <c r="M34" s="67">
        <f t="shared" si="54"/>
        <v>0</v>
      </c>
      <c r="N34" s="67">
        <f t="shared" si="54"/>
        <v>0</v>
      </c>
      <c r="O34" s="67">
        <f t="shared" si="54"/>
        <v>0</v>
      </c>
      <c r="P34" s="67">
        <f t="shared" si="54"/>
        <v>0</v>
      </c>
      <c r="Q34" s="67">
        <f t="shared" si="54"/>
        <v>0</v>
      </c>
      <c r="R34" s="67">
        <f t="shared" si="54"/>
        <v>0</v>
      </c>
      <c r="S34" s="67">
        <f t="shared" si="54"/>
        <v>0</v>
      </c>
      <c r="T34" s="67">
        <f t="shared" si="54"/>
        <v>0</v>
      </c>
      <c r="U34" s="67">
        <f t="shared" si="54"/>
        <v>0</v>
      </c>
      <c r="V34" s="67">
        <f t="shared" si="54"/>
        <v>0</v>
      </c>
      <c r="W34" s="67">
        <f t="shared" si="54"/>
        <v>0</v>
      </c>
      <c r="X34" s="67">
        <f t="shared" si="54"/>
        <v>0</v>
      </c>
      <c r="Y34" s="67">
        <f t="shared" si="54"/>
        <v>0</v>
      </c>
      <c r="Z34" s="67">
        <f t="shared" si="54"/>
        <v>0</v>
      </c>
      <c r="AA34" s="67">
        <f t="shared" si="54"/>
        <v>0</v>
      </c>
      <c r="AB34" s="67">
        <f t="shared" si="54"/>
        <v>0</v>
      </c>
      <c r="AC34" s="67">
        <f t="shared" si="54"/>
        <v>0</v>
      </c>
      <c r="AD34" s="67">
        <f t="shared" si="54"/>
        <v>0</v>
      </c>
      <c r="AE34" s="67">
        <f t="shared" si="54"/>
        <v>0</v>
      </c>
      <c r="AF34" s="67">
        <f t="shared" si="54"/>
        <v>0</v>
      </c>
      <c r="AG34" s="67">
        <f t="shared" si="54"/>
        <v>0</v>
      </c>
      <c r="AH34" s="67">
        <f t="shared" si="54"/>
        <v>0</v>
      </c>
      <c r="AI34" s="67">
        <f t="shared" si="54"/>
        <v>0</v>
      </c>
      <c r="AJ34" s="67">
        <f t="shared" si="54"/>
        <v>12443.12</v>
      </c>
      <c r="AK34" s="67">
        <f t="shared" si="54"/>
        <v>13687.43</v>
      </c>
      <c r="AL34" s="67">
        <f t="shared" si="54"/>
        <v>15056.18</v>
      </c>
      <c r="AM34" s="67">
        <f t="shared" si="54"/>
        <v>16561.79</v>
      </c>
      <c r="AN34" s="67">
        <f t="shared" si="54"/>
        <v>18218.150000000001</v>
      </c>
      <c r="AO34" s="67">
        <f t="shared" si="54"/>
        <v>20039.82</v>
      </c>
      <c r="AP34" s="67">
        <f t="shared" si="54"/>
        <v>22043.88</v>
      </c>
      <c r="AQ34" s="67">
        <f t="shared" si="54"/>
        <v>24248.44</v>
      </c>
      <c r="AR34" s="67">
        <f t="shared" si="54"/>
        <v>26673.43</v>
      </c>
      <c r="AS34" s="67">
        <f t="shared" si="54"/>
        <v>29340.880000000001</v>
      </c>
      <c r="AT34" s="67">
        <f t="shared" si="54"/>
        <v>32274.97</v>
      </c>
      <c r="AU34" s="67">
        <f t="shared" si="54"/>
        <v>35502.36</v>
      </c>
      <c r="AV34" s="67">
        <f t="shared" si="54"/>
        <v>38342.589999999997</v>
      </c>
      <c r="AW34" s="67">
        <f t="shared" si="54"/>
        <v>41410</v>
      </c>
      <c r="AX34" s="67">
        <f t="shared" si="54"/>
        <v>44722.71</v>
      </c>
      <c r="AY34" s="67">
        <f t="shared" si="54"/>
        <v>48300.639999999999</v>
      </c>
      <c r="AZ34" s="67">
        <f t="shared" si="54"/>
        <v>52164.76</v>
      </c>
      <c r="BA34" s="67">
        <f t="shared" si="54"/>
        <v>56337.83</v>
      </c>
      <c r="BB34" s="67">
        <f t="shared" si="54"/>
        <v>60844.73</v>
      </c>
      <c r="BC34" s="67">
        <f t="shared" si="54"/>
        <v>65712.479999999996</v>
      </c>
      <c r="BD34" s="67">
        <f t="shared" si="54"/>
        <v>70969.52</v>
      </c>
      <c r="BE34" s="67">
        <f t="shared" si="54"/>
        <v>76647.14</v>
      </c>
      <c r="BF34" s="67">
        <f t="shared" si="54"/>
        <v>82778.75</v>
      </c>
      <c r="BG34" s="67">
        <f t="shared" si="54"/>
        <v>89400.98</v>
      </c>
      <c r="BH34" s="67">
        <f t="shared" si="54"/>
        <v>91188.88</v>
      </c>
      <c r="BI34" s="67">
        <f t="shared" si="54"/>
        <v>93012.69</v>
      </c>
      <c r="BJ34" s="67">
        <f t="shared" si="54"/>
        <v>94873.11</v>
      </c>
      <c r="BK34" s="67">
        <f t="shared" si="54"/>
        <v>96770.51</v>
      </c>
      <c r="BL34" s="67">
        <f t="shared" si="54"/>
        <v>98705.95</v>
      </c>
      <c r="BM34" s="67">
        <f t="shared" si="54"/>
        <v>100680.14</v>
      </c>
      <c r="BN34" s="67">
        <f t="shared" si="54"/>
        <v>102693.79</v>
      </c>
      <c r="BO34" s="67">
        <f t="shared" si="54"/>
        <v>104747.62</v>
      </c>
      <c r="BP34" s="67">
        <f t="shared" si="54"/>
        <v>106842.69</v>
      </c>
      <c r="BQ34" s="67">
        <f t="shared" si="54"/>
        <v>108979.7</v>
      </c>
      <c r="BR34" s="67">
        <f t="shared" si="54"/>
        <v>111159.38</v>
      </c>
      <c r="BS34" s="67">
        <f t="shared" si="54"/>
        <v>113382.43</v>
      </c>
      <c r="BT34" s="301" t="s">
        <v>321</v>
      </c>
    </row>
    <row r="35" spans="1:72">
      <c r="A35" s="96"/>
      <c r="B35" s="97" t="str">
        <f>B20</f>
        <v>PEP Straw 3</v>
      </c>
      <c r="C35" s="98"/>
      <c r="D35" s="99">
        <f t="shared" si="49"/>
        <v>0</v>
      </c>
      <c r="E35" s="99">
        <f t="shared" si="50"/>
        <v>0</v>
      </c>
      <c r="F35" s="67">
        <f t="shared" si="51"/>
        <v>0</v>
      </c>
      <c r="G35" s="67">
        <f t="shared" si="52"/>
        <v>476982.9</v>
      </c>
      <c r="H35" s="67">
        <f t="shared" si="53"/>
        <v>938009.44000000006</v>
      </c>
      <c r="I35" s="67"/>
      <c r="J35" s="100"/>
      <c r="K35" s="67"/>
      <c r="L35" s="67">
        <f t="shared" ref="L35:BS35" si="55">ROUND(L28*L20,2)</f>
        <v>0</v>
      </c>
      <c r="M35" s="67">
        <f t="shared" si="55"/>
        <v>0</v>
      </c>
      <c r="N35" s="67">
        <f t="shared" si="55"/>
        <v>0</v>
      </c>
      <c r="O35" s="67">
        <f t="shared" si="55"/>
        <v>0</v>
      </c>
      <c r="P35" s="67">
        <f t="shared" si="55"/>
        <v>0</v>
      </c>
      <c r="Q35" s="67">
        <f t="shared" si="55"/>
        <v>0</v>
      </c>
      <c r="R35" s="67">
        <f t="shared" si="55"/>
        <v>0</v>
      </c>
      <c r="S35" s="67">
        <f t="shared" si="55"/>
        <v>0</v>
      </c>
      <c r="T35" s="67">
        <f t="shared" si="55"/>
        <v>0</v>
      </c>
      <c r="U35" s="67">
        <f t="shared" si="55"/>
        <v>0</v>
      </c>
      <c r="V35" s="67">
        <f t="shared" si="55"/>
        <v>0</v>
      </c>
      <c r="W35" s="67">
        <f t="shared" si="55"/>
        <v>0</v>
      </c>
      <c r="X35" s="67">
        <f t="shared" si="55"/>
        <v>0</v>
      </c>
      <c r="Y35" s="67">
        <f t="shared" si="55"/>
        <v>0</v>
      </c>
      <c r="Z35" s="67">
        <f t="shared" si="55"/>
        <v>0</v>
      </c>
      <c r="AA35" s="67">
        <f t="shared" si="55"/>
        <v>0</v>
      </c>
      <c r="AB35" s="67">
        <f t="shared" si="55"/>
        <v>0</v>
      </c>
      <c r="AC35" s="67">
        <f t="shared" si="55"/>
        <v>0</v>
      </c>
      <c r="AD35" s="67">
        <f t="shared" si="55"/>
        <v>0</v>
      </c>
      <c r="AE35" s="67">
        <f t="shared" si="55"/>
        <v>0</v>
      </c>
      <c r="AF35" s="67">
        <f t="shared" si="55"/>
        <v>0</v>
      </c>
      <c r="AG35" s="67">
        <f t="shared" si="55"/>
        <v>0</v>
      </c>
      <c r="AH35" s="67">
        <f t="shared" si="55"/>
        <v>0</v>
      </c>
      <c r="AI35" s="67">
        <f t="shared" si="55"/>
        <v>0</v>
      </c>
      <c r="AJ35" s="67">
        <f t="shared" si="55"/>
        <v>0</v>
      </c>
      <c r="AK35" s="67">
        <f t="shared" si="55"/>
        <v>0</v>
      </c>
      <c r="AL35" s="67">
        <f t="shared" si="55"/>
        <v>0</v>
      </c>
      <c r="AM35" s="67">
        <f t="shared" si="55"/>
        <v>0</v>
      </c>
      <c r="AN35" s="67">
        <f t="shared" si="55"/>
        <v>0</v>
      </c>
      <c r="AO35" s="67">
        <f t="shared" si="55"/>
        <v>0</v>
      </c>
      <c r="AP35" s="67">
        <f t="shared" si="55"/>
        <v>0</v>
      </c>
      <c r="AQ35" s="67">
        <f t="shared" si="55"/>
        <v>0</v>
      </c>
      <c r="AR35" s="67">
        <f t="shared" si="55"/>
        <v>0</v>
      </c>
      <c r="AS35" s="67">
        <f t="shared" si="55"/>
        <v>0</v>
      </c>
      <c r="AT35" s="67">
        <f t="shared" si="55"/>
        <v>0</v>
      </c>
      <c r="AU35" s="67">
        <f t="shared" si="55"/>
        <v>0</v>
      </c>
      <c r="AV35" s="67">
        <f t="shared" si="55"/>
        <v>26663.83</v>
      </c>
      <c r="AW35" s="67">
        <f t="shared" si="55"/>
        <v>28530.3</v>
      </c>
      <c r="AX35" s="67">
        <f t="shared" si="55"/>
        <v>30527.599999999999</v>
      </c>
      <c r="AY35" s="67">
        <f t="shared" si="55"/>
        <v>32664.62</v>
      </c>
      <c r="AZ35" s="67">
        <f t="shared" si="55"/>
        <v>34951.31</v>
      </c>
      <c r="BA35" s="67">
        <f t="shared" si="55"/>
        <v>37397.980000000003</v>
      </c>
      <c r="BB35" s="67">
        <f t="shared" si="55"/>
        <v>40016.01</v>
      </c>
      <c r="BC35" s="67">
        <f t="shared" si="55"/>
        <v>42817.14</v>
      </c>
      <c r="BD35" s="67">
        <f t="shared" si="55"/>
        <v>45814.51</v>
      </c>
      <c r="BE35" s="67">
        <f t="shared" si="55"/>
        <v>49021.63</v>
      </c>
      <c r="BF35" s="67">
        <f t="shared" si="55"/>
        <v>52453.09</v>
      </c>
      <c r="BG35" s="67">
        <f t="shared" si="55"/>
        <v>56124.88</v>
      </c>
      <c r="BH35" s="67">
        <f t="shared" si="55"/>
        <v>58930.98</v>
      </c>
      <c r="BI35" s="67">
        <f t="shared" si="55"/>
        <v>61877.51</v>
      </c>
      <c r="BJ35" s="67">
        <f t="shared" si="55"/>
        <v>64971.23</v>
      </c>
      <c r="BK35" s="67">
        <f t="shared" si="55"/>
        <v>68219.95</v>
      </c>
      <c r="BL35" s="67">
        <f t="shared" si="55"/>
        <v>71630.78</v>
      </c>
      <c r="BM35" s="67">
        <f t="shared" si="55"/>
        <v>75212.27</v>
      </c>
      <c r="BN35" s="67">
        <f t="shared" si="55"/>
        <v>78972.94</v>
      </c>
      <c r="BO35" s="67">
        <f t="shared" si="55"/>
        <v>82921.67</v>
      </c>
      <c r="BP35" s="67">
        <f t="shared" si="55"/>
        <v>87067.72</v>
      </c>
      <c r="BQ35" s="67">
        <f t="shared" si="55"/>
        <v>91421.04</v>
      </c>
      <c r="BR35" s="67">
        <f t="shared" si="55"/>
        <v>95991.93</v>
      </c>
      <c r="BS35" s="67">
        <f t="shared" si="55"/>
        <v>100791.42</v>
      </c>
      <c r="BT35" s="301" t="s">
        <v>321</v>
      </c>
    </row>
    <row r="36" spans="1:72">
      <c r="A36" s="96"/>
      <c r="B36" s="97" t="str">
        <f>B21</f>
        <v>PRODUCT 4</v>
      </c>
      <c r="C36" s="98"/>
      <c r="D36" s="99">
        <f t="shared" si="49"/>
        <v>0</v>
      </c>
      <c r="E36" s="99">
        <f t="shared" si="50"/>
        <v>0</v>
      </c>
      <c r="F36" s="67">
        <f t="shared" si="51"/>
        <v>0</v>
      </c>
      <c r="G36" s="67">
        <f t="shared" si="52"/>
        <v>0</v>
      </c>
      <c r="H36" s="67">
        <f t="shared" si="53"/>
        <v>0</v>
      </c>
      <c r="I36" s="67"/>
      <c r="J36" s="100"/>
      <c r="K36" s="67"/>
      <c r="L36" s="67">
        <f t="shared" ref="L36:BS36" si="56">ROUND(L29*L21,2)</f>
        <v>0</v>
      </c>
      <c r="M36" s="67">
        <f t="shared" si="56"/>
        <v>0</v>
      </c>
      <c r="N36" s="67">
        <f t="shared" si="56"/>
        <v>0</v>
      </c>
      <c r="O36" s="67">
        <f t="shared" si="56"/>
        <v>0</v>
      </c>
      <c r="P36" s="67">
        <f t="shared" si="56"/>
        <v>0</v>
      </c>
      <c r="Q36" s="67">
        <f t="shared" si="56"/>
        <v>0</v>
      </c>
      <c r="R36" s="67">
        <f t="shared" si="56"/>
        <v>0</v>
      </c>
      <c r="S36" s="67">
        <f t="shared" si="56"/>
        <v>0</v>
      </c>
      <c r="T36" s="67">
        <f t="shared" si="56"/>
        <v>0</v>
      </c>
      <c r="U36" s="67">
        <f t="shared" si="56"/>
        <v>0</v>
      </c>
      <c r="V36" s="67">
        <f t="shared" si="56"/>
        <v>0</v>
      </c>
      <c r="W36" s="67">
        <f t="shared" si="56"/>
        <v>0</v>
      </c>
      <c r="X36" s="67">
        <f t="shared" si="56"/>
        <v>0</v>
      </c>
      <c r="Y36" s="67">
        <f t="shared" si="56"/>
        <v>0</v>
      </c>
      <c r="Z36" s="67">
        <f t="shared" si="56"/>
        <v>0</v>
      </c>
      <c r="AA36" s="67">
        <f t="shared" si="56"/>
        <v>0</v>
      </c>
      <c r="AB36" s="67">
        <f t="shared" si="56"/>
        <v>0</v>
      </c>
      <c r="AC36" s="67">
        <f t="shared" si="56"/>
        <v>0</v>
      </c>
      <c r="AD36" s="67">
        <f t="shared" si="56"/>
        <v>0</v>
      </c>
      <c r="AE36" s="67">
        <f t="shared" si="56"/>
        <v>0</v>
      </c>
      <c r="AF36" s="67">
        <f t="shared" si="56"/>
        <v>0</v>
      </c>
      <c r="AG36" s="67">
        <f t="shared" si="56"/>
        <v>0</v>
      </c>
      <c r="AH36" s="67">
        <f t="shared" si="56"/>
        <v>0</v>
      </c>
      <c r="AI36" s="67">
        <f t="shared" si="56"/>
        <v>0</v>
      </c>
      <c r="AJ36" s="67">
        <f t="shared" si="56"/>
        <v>0</v>
      </c>
      <c r="AK36" s="67">
        <f t="shared" si="56"/>
        <v>0</v>
      </c>
      <c r="AL36" s="67">
        <f t="shared" si="56"/>
        <v>0</v>
      </c>
      <c r="AM36" s="67">
        <f t="shared" si="56"/>
        <v>0</v>
      </c>
      <c r="AN36" s="67">
        <f t="shared" si="56"/>
        <v>0</v>
      </c>
      <c r="AO36" s="67">
        <f t="shared" si="56"/>
        <v>0</v>
      </c>
      <c r="AP36" s="67">
        <f t="shared" si="56"/>
        <v>0</v>
      </c>
      <c r="AQ36" s="67">
        <f t="shared" si="56"/>
        <v>0</v>
      </c>
      <c r="AR36" s="67">
        <f t="shared" si="56"/>
        <v>0</v>
      </c>
      <c r="AS36" s="67">
        <f t="shared" si="56"/>
        <v>0</v>
      </c>
      <c r="AT36" s="67">
        <f t="shared" si="56"/>
        <v>0</v>
      </c>
      <c r="AU36" s="67">
        <f t="shared" si="56"/>
        <v>0</v>
      </c>
      <c r="AV36" s="67">
        <f t="shared" si="56"/>
        <v>0</v>
      </c>
      <c r="AW36" s="67">
        <f t="shared" si="56"/>
        <v>0</v>
      </c>
      <c r="AX36" s="67">
        <f t="shared" si="56"/>
        <v>0</v>
      </c>
      <c r="AY36" s="67">
        <f t="shared" si="56"/>
        <v>0</v>
      </c>
      <c r="AZ36" s="67">
        <f t="shared" si="56"/>
        <v>0</v>
      </c>
      <c r="BA36" s="67">
        <f t="shared" si="56"/>
        <v>0</v>
      </c>
      <c r="BB36" s="67">
        <f t="shared" si="56"/>
        <v>0</v>
      </c>
      <c r="BC36" s="67">
        <f t="shared" si="56"/>
        <v>0</v>
      </c>
      <c r="BD36" s="67">
        <f t="shared" si="56"/>
        <v>0</v>
      </c>
      <c r="BE36" s="67">
        <f t="shared" si="56"/>
        <v>0</v>
      </c>
      <c r="BF36" s="67">
        <f t="shared" si="56"/>
        <v>0</v>
      </c>
      <c r="BG36" s="67">
        <f t="shared" si="56"/>
        <v>0</v>
      </c>
      <c r="BH36" s="67">
        <f t="shared" si="56"/>
        <v>0</v>
      </c>
      <c r="BI36" s="67">
        <f t="shared" si="56"/>
        <v>0</v>
      </c>
      <c r="BJ36" s="67">
        <f t="shared" si="56"/>
        <v>0</v>
      </c>
      <c r="BK36" s="67">
        <f t="shared" si="56"/>
        <v>0</v>
      </c>
      <c r="BL36" s="67">
        <f t="shared" si="56"/>
        <v>0</v>
      </c>
      <c r="BM36" s="67">
        <f t="shared" si="56"/>
        <v>0</v>
      </c>
      <c r="BN36" s="67">
        <f t="shared" si="56"/>
        <v>0</v>
      </c>
      <c r="BO36" s="67">
        <f t="shared" si="56"/>
        <v>0</v>
      </c>
      <c r="BP36" s="67">
        <f t="shared" si="56"/>
        <v>0</v>
      </c>
      <c r="BQ36" s="67">
        <f t="shared" si="56"/>
        <v>0</v>
      </c>
      <c r="BR36" s="67">
        <f t="shared" si="56"/>
        <v>0</v>
      </c>
      <c r="BS36" s="67">
        <f t="shared" si="56"/>
        <v>0</v>
      </c>
      <c r="BT36" s="301" t="s">
        <v>321</v>
      </c>
    </row>
    <row r="37" spans="1:72">
      <c r="A37" s="96"/>
      <c r="B37" s="97" t="str">
        <f>B22</f>
        <v>PRODUCT 5</v>
      </c>
      <c r="C37" s="98"/>
      <c r="D37" s="99">
        <f t="shared" si="49"/>
        <v>0</v>
      </c>
      <c r="E37" s="99">
        <f t="shared" si="50"/>
        <v>0</v>
      </c>
      <c r="F37" s="67">
        <f t="shared" si="51"/>
        <v>0</v>
      </c>
      <c r="G37" s="67">
        <f t="shared" si="52"/>
        <v>0</v>
      </c>
      <c r="H37" s="67">
        <f t="shared" si="53"/>
        <v>0</v>
      </c>
      <c r="I37" s="67"/>
      <c r="J37" s="100"/>
      <c r="K37" s="67"/>
      <c r="L37" s="67">
        <f t="shared" ref="L37:BS37" si="57">ROUND(L30*L22,2)</f>
        <v>0</v>
      </c>
      <c r="M37" s="67">
        <f t="shared" si="57"/>
        <v>0</v>
      </c>
      <c r="N37" s="67">
        <f t="shared" si="57"/>
        <v>0</v>
      </c>
      <c r="O37" s="67">
        <f t="shared" si="57"/>
        <v>0</v>
      </c>
      <c r="P37" s="67">
        <f t="shared" si="57"/>
        <v>0</v>
      </c>
      <c r="Q37" s="67">
        <f t="shared" si="57"/>
        <v>0</v>
      </c>
      <c r="R37" s="67">
        <f t="shared" si="57"/>
        <v>0</v>
      </c>
      <c r="S37" s="67">
        <f t="shared" si="57"/>
        <v>0</v>
      </c>
      <c r="T37" s="67">
        <f t="shared" si="57"/>
        <v>0</v>
      </c>
      <c r="U37" s="67">
        <f t="shared" si="57"/>
        <v>0</v>
      </c>
      <c r="V37" s="67">
        <f t="shared" si="57"/>
        <v>0</v>
      </c>
      <c r="W37" s="67">
        <f t="shared" si="57"/>
        <v>0</v>
      </c>
      <c r="X37" s="67">
        <f t="shared" si="57"/>
        <v>0</v>
      </c>
      <c r="Y37" s="67">
        <f t="shared" si="57"/>
        <v>0</v>
      </c>
      <c r="Z37" s="67">
        <f t="shared" si="57"/>
        <v>0</v>
      </c>
      <c r="AA37" s="67">
        <f t="shared" si="57"/>
        <v>0</v>
      </c>
      <c r="AB37" s="67">
        <f t="shared" si="57"/>
        <v>0</v>
      </c>
      <c r="AC37" s="67">
        <f t="shared" si="57"/>
        <v>0</v>
      </c>
      <c r="AD37" s="67">
        <f t="shared" si="57"/>
        <v>0</v>
      </c>
      <c r="AE37" s="67">
        <f t="shared" si="57"/>
        <v>0</v>
      </c>
      <c r="AF37" s="67">
        <f t="shared" si="57"/>
        <v>0</v>
      </c>
      <c r="AG37" s="67">
        <f t="shared" si="57"/>
        <v>0</v>
      </c>
      <c r="AH37" s="67">
        <f t="shared" si="57"/>
        <v>0</v>
      </c>
      <c r="AI37" s="67">
        <f t="shared" si="57"/>
        <v>0</v>
      </c>
      <c r="AJ37" s="67">
        <f t="shared" si="57"/>
        <v>0</v>
      </c>
      <c r="AK37" s="67">
        <f t="shared" si="57"/>
        <v>0</v>
      </c>
      <c r="AL37" s="67">
        <f t="shared" si="57"/>
        <v>0</v>
      </c>
      <c r="AM37" s="67">
        <f t="shared" si="57"/>
        <v>0</v>
      </c>
      <c r="AN37" s="67">
        <f t="shared" si="57"/>
        <v>0</v>
      </c>
      <c r="AO37" s="67">
        <f t="shared" si="57"/>
        <v>0</v>
      </c>
      <c r="AP37" s="67">
        <f t="shared" si="57"/>
        <v>0</v>
      </c>
      <c r="AQ37" s="67">
        <f t="shared" si="57"/>
        <v>0</v>
      </c>
      <c r="AR37" s="67">
        <f t="shared" si="57"/>
        <v>0</v>
      </c>
      <c r="AS37" s="67">
        <f t="shared" si="57"/>
        <v>0</v>
      </c>
      <c r="AT37" s="67">
        <f t="shared" si="57"/>
        <v>0</v>
      </c>
      <c r="AU37" s="67">
        <f t="shared" si="57"/>
        <v>0</v>
      </c>
      <c r="AV37" s="67">
        <f t="shared" si="57"/>
        <v>0</v>
      </c>
      <c r="AW37" s="67">
        <f t="shared" si="57"/>
        <v>0</v>
      </c>
      <c r="AX37" s="67">
        <f t="shared" si="57"/>
        <v>0</v>
      </c>
      <c r="AY37" s="67">
        <f t="shared" si="57"/>
        <v>0</v>
      </c>
      <c r="AZ37" s="67">
        <f t="shared" si="57"/>
        <v>0</v>
      </c>
      <c r="BA37" s="67">
        <f t="shared" si="57"/>
        <v>0</v>
      </c>
      <c r="BB37" s="67">
        <f t="shared" si="57"/>
        <v>0</v>
      </c>
      <c r="BC37" s="67">
        <f t="shared" si="57"/>
        <v>0</v>
      </c>
      <c r="BD37" s="67">
        <f t="shared" si="57"/>
        <v>0</v>
      </c>
      <c r="BE37" s="67">
        <f t="shared" si="57"/>
        <v>0</v>
      </c>
      <c r="BF37" s="67">
        <f t="shared" si="57"/>
        <v>0</v>
      </c>
      <c r="BG37" s="67">
        <f t="shared" si="57"/>
        <v>0</v>
      </c>
      <c r="BH37" s="67">
        <f t="shared" si="57"/>
        <v>0</v>
      </c>
      <c r="BI37" s="67">
        <f t="shared" si="57"/>
        <v>0</v>
      </c>
      <c r="BJ37" s="67">
        <f t="shared" si="57"/>
        <v>0</v>
      </c>
      <c r="BK37" s="67">
        <f t="shared" si="57"/>
        <v>0</v>
      </c>
      <c r="BL37" s="67">
        <f t="shared" si="57"/>
        <v>0</v>
      </c>
      <c r="BM37" s="67">
        <f t="shared" si="57"/>
        <v>0</v>
      </c>
      <c r="BN37" s="67">
        <f t="shared" si="57"/>
        <v>0</v>
      </c>
      <c r="BO37" s="67">
        <f t="shared" si="57"/>
        <v>0</v>
      </c>
      <c r="BP37" s="67">
        <f t="shared" si="57"/>
        <v>0</v>
      </c>
      <c r="BQ37" s="67">
        <f t="shared" si="57"/>
        <v>0</v>
      </c>
      <c r="BR37" s="67">
        <f t="shared" si="57"/>
        <v>0</v>
      </c>
      <c r="BS37" s="67">
        <f t="shared" si="57"/>
        <v>0</v>
      </c>
      <c r="BT37" s="301" t="s">
        <v>321</v>
      </c>
    </row>
    <row r="38" spans="1:72">
      <c r="A38" s="83" t="s">
        <v>353</v>
      </c>
      <c r="B38" s="102"/>
      <c r="C38" s="85"/>
      <c r="D38" s="104">
        <f t="shared" ref="D38:E38" si="58">SUM(D33:D37)</f>
        <v>202206.06</v>
      </c>
      <c r="E38" s="104">
        <f t="shared" si="58"/>
        <v>1679068.75</v>
      </c>
      <c r="F38" s="104">
        <f>SUM(F33:F37)</f>
        <v>3584824.18</v>
      </c>
      <c r="G38" s="104">
        <f>SUM(G33:G37)</f>
        <v>5198533.1600000011</v>
      </c>
      <c r="H38" s="104">
        <f>SUM(H33:H37)</f>
        <v>6903808.9200000009</v>
      </c>
      <c r="I38" s="104"/>
      <c r="J38" s="104"/>
      <c r="K38" s="110"/>
      <c r="L38" s="110">
        <f t="shared" ref="L38:V38" si="59">SUM(L33:L37)</f>
        <v>0</v>
      </c>
      <c r="M38" s="110">
        <f t="shared" si="59"/>
        <v>0</v>
      </c>
      <c r="N38" s="110">
        <f t="shared" si="59"/>
        <v>0</v>
      </c>
      <c r="O38" s="110">
        <f t="shared" si="59"/>
        <v>2868.17</v>
      </c>
      <c r="P38" s="103">
        <f t="shared" si="59"/>
        <v>4302.26</v>
      </c>
      <c r="Q38" s="103">
        <f t="shared" si="59"/>
        <v>5736.34</v>
      </c>
      <c r="R38" s="103">
        <f t="shared" si="59"/>
        <v>7170.43</v>
      </c>
      <c r="S38" s="103">
        <f t="shared" si="59"/>
        <v>22945.37</v>
      </c>
      <c r="T38" s="103">
        <f t="shared" si="59"/>
        <v>24379.45</v>
      </c>
      <c r="U38" s="103">
        <f t="shared" si="59"/>
        <v>25813.54</v>
      </c>
      <c r="V38" s="103">
        <f t="shared" si="59"/>
        <v>51627.08</v>
      </c>
      <c r="W38" s="103">
        <f t="shared" ref="W38:AH38" si="60">SUM(W33:W37)</f>
        <v>57363.42</v>
      </c>
      <c r="X38" s="103">
        <f t="shared" si="60"/>
        <v>67688.83</v>
      </c>
      <c r="Y38" s="103">
        <f t="shared" si="60"/>
        <v>79872.820000000007</v>
      </c>
      <c r="Z38" s="103">
        <f t="shared" si="60"/>
        <v>76043.490000000005</v>
      </c>
      <c r="AA38" s="103">
        <f t="shared" si="60"/>
        <v>89731.53</v>
      </c>
      <c r="AB38" s="103">
        <f t="shared" si="60"/>
        <v>105883.18</v>
      </c>
      <c r="AC38" s="103">
        <f t="shared" si="60"/>
        <v>124942.31</v>
      </c>
      <c r="AD38" s="103">
        <f t="shared" si="60"/>
        <v>147431.88</v>
      </c>
      <c r="AE38" s="103">
        <f t="shared" si="60"/>
        <v>148049.91</v>
      </c>
      <c r="AF38" s="103">
        <f t="shared" si="60"/>
        <v>174699.03</v>
      </c>
      <c r="AG38" s="103">
        <f t="shared" si="60"/>
        <v>186072.66</v>
      </c>
      <c r="AH38" s="103">
        <f t="shared" si="60"/>
        <v>219565.63</v>
      </c>
      <c r="AI38" s="103">
        <f t="shared" ref="AI38:BS38" si="61">SUM(AI33:AI37)</f>
        <v>259087.48</v>
      </c>
      <c r="AJ38" s="103">
        <f t="shared" si="61"/>
        <v>274121.61</v>
      </c>
      <c r="AK38" s="103">
        <f t="shared" si="61"/>
        <v>277982.52999999997</v>
      </c>
      <c r="AL38" s="103">
        <f t="shared" si="61"/>
        <v>281994.2</v>
      </c>
      <c r="AM38" s="103">
        <f t="shared" si="61"/>
        <v>286169.03999999998</v>
      </c>
      <c r="AN38" s="103">
        <f t="shared" si="61"/>
        <v>290521.64</v>
      </c>
      <c r="AO38" s="103">
        <f t="shared" si="61"/>
        <v>295066.22000000003</v>
      </c>
      <c r="AP38" s="103">
        <f t="shared" si="61"/>
        <v>299820.57</v>
      </c>
      <c r="AQ38" s="103">
        <f t="shared" si="61"/>
        <v>304802.78999999998</v>
      </c>
      <c r="AR38" s="103">
        <f t="shared" si="61"/>
        <v>310033.17</v>
      </c>
      <c r="AS38" s="103">
        <f t="shared" si="61"/>
        <v>315534.09999999998</v>
      </c>
      <c r="AT38" s="103">
        <f t="shared" si="61"/>
        <v>321330.09999999998</v>
      </c>
      <c r="AU38" s="103">
        <f t="shared" si="61"/>
        <v>327448.20999999996</v>
      </c>
      <c r="AV38" s="103">
        <f t="shared" si="61"/>
        <v>362791.29</v>
      </c>
      <c r="AW38" s="103">
        <f t="shared" si="61"/>
        <v>373680.81</v>
      </c>
      <c r="AX38" s="103">
        <f t="shared" si="61"/>
        <v>385065.55</v>
      </c>
      <c r="AY38" s="103">
        <f t="shared" si="61"/>
        <v>396976.82</v>
      </c>
      <c r="AZ38" s="103">
        <f t="shared" si="61"/>
        <v>409448.02</v>
      </c>
      <c r="BA38" s="103">
        <f t="shared" si="61"/>
        <v>422514.37</v>
      </c>
      <c r="BB38" s="103">
        <f t="shared" si="61"/>
        <v>436214.95</v>
      </c>
      <c r="BC38" s="103">
        <f t="shared" si="61"/>
        <v>450591.02999999997</v>
      </c>
      <c r="BD38" s="103">
        <f t="shared" si="61"/>
        <v>465686.67000000004</v>
      </c>
      <c r="BE38" s="103">
        <f t="shared" si="61"/>
        <v>481549.51</v>
      </c>
      <c r="BF38" s="103">
        <f t="shared" si="61"/>
        <v>498230.05000000005</v>
      </c>
      <c r="BG38" s="103">
        <f t="shared" si="61"/>
        <v>515784.08999999997</v>
      </c>
      <c r="BH38" s="103">
        <f t="shared" si="61"/>
        <v>524080.81</v>
      </c>
      <c r="BI38" s="103">
        <f t="shared" si="61"/>
        <v>532590.84</v>
      </c>
      <c r="BJ38" s="103">
        <f t="shared" si="61"/>
        <v>541322</v>
      </c>
      <c r="BK38" s="103">
        <f t="shared" si="61"/>
        <v>550282.82999999996</v>
      </c>
      <c r="BL38" s="103">
        <f t="shared" si="61"/>
        <v>559482.19999999995</v>
      </c>
      <c r="BM38" s="103">
        <f t="shared" si="61"/>
        <v>568929.38</v>
      </c>
      <c r="BN38" s="103">
        <f t="shared" si="61"/>
        <v>578633.94999999995</v>
      </c>
      <c r="BO38" s="103">
        <f t="shared" si="61"/>
        <v>588606.22</v>
      </c>
      <c r="BP38" s="103">
        <f t="shared" si="61"/>
        <v>598856.87</v>
      </c>
      <c r="BQ38" s="103">
        <f t="shared" si="61"/>
        <v>609396.54</v>
      </c>
      <c r="BR38" s="103">
        <f t="shared" si="61"/>
        <v>620236.99</v>
      </c>
      <c r="BS38" s="103">
        <f t="shared" si="61"/>
        <v>631390.29</v>
      </c>
      <c r="BT38" s="301" t="s">
        <v>321</v>
      </c>
    </row>
    <row r="39" spans="1:72">
      <c r="A39" s="158"/>
      <c r="B39" s="159"/>
      <c r="C39" s="160"/>
      <c r="D39" s="162"/>
      <c r="E39" s="162"/>
      <c r="F39" s="162"/>
      <c r="G39" s="162"/>
      <c r="H39" s="162"/>
      <c r="I39" s="162"/>
      <c r="J39" s="162"/>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301" t="s">
        <v>321</v>
      </c>
    </row>
    <row r="40" spans="1:72" hidden="1" outlineLevel="1">
      <c r="A40" s="374" t="s">
        <v>354</v>
      </c>
      <c r="B40" s="375"/>
      <c r="C40" s="376"/>
      <c r="D40" s="377">
        <f>YEAR(Assumptions!$I$9)</f>
        <v>2019</v>
      </c>
      <c r="E40" s="377">
        <f>D40+1</f>
        <v>2020</v>
      </c>
      <c r="F40" s="377">
        <f t="shared" ref="F40:H40" si="62">E40+1</f>
        <v>2021</v>
      </c>
      <c r="G40" s="377">
        <f t="shared" si="62"/>
        <v>2022</v>
      </c>
      <c r="H40" s="377">
        <f t="shared" si="62"/>
        <v>2023</v>
      </c>
      <c r="I40" s="377"/>
      <c r="J40" s="378"/>
      <c r="K40" s="378">
        <v>0</v>
      </c>
      <c r="L40" s="378">
        <f>K40+1</f>
        <v>1</v>
      </c>
      <c r="M40" s="378">
        <f t="shared" ref="M40:BS40" si="63">L40+1</f>
        <v>2</v>
      </c>
      <c r="N40" s="378">
        <f t="shared" si="63"/>
        <v>3</v>
      </c>
      <c r="O40" s="378">
        <f t="shared" si="63"/>
        <v>4</v>
      </c>
      <c r="P40" s="378">
        <f t="shared" si="63"/>
        <v>5</v>
      </c>
      <c r="Q40" s="378">
        <f t="shared" si="63"/>
        <v>6</v>
      </c>
      <c r="R40" s="378">
        <f t="shared" si="63"/>
        <v>7</v>
      </c>
      <c r="S40" s="378">
        <f t="shared" si="63"/>
        <v>8</v>
      </c>
      <c r="T40" s="378">
        <f t="shared" si="63"/>
        <v>9</v>
      </c>
      <c r="U40" s="378">
        <f t="shared" si="63"/>
        <v>10</v>
      </c>
      <c r="V40" s="378">
        <f t="shared" si="63"/>
        <v>11</v>
      </c>
      <c r="W40" s="378">
        <f t="shared" si="63"/>
        <v>12</v>
      </c>
      <c r="X40" s="378">
        <f t="shared" si="63"/>
        <v>13</v>
      </c>
      <c r="Y40" s="378">
        <f t="shared" si="63"/>
        <v>14</v>
      </c>
      <c r="Z40" s="378">
        <f t="shared" si="63"/>
        <v>15</v>
      </c>
      <c r="AA40" s="378">
        <f t="shared" si="63"/>
        <v>16</v>
      </c>
      <c r="AB40" s="378">
        <f t="shared" si="63"/>
        <v>17</v>
      </c>
      <c r="AC40" s="378">
        <f t="shared" si="63"/>
        <v>18</v>
      </c>
      <c r="AD40" s="378">
        <f t="shared" si="63"/>
        <v>19</v>
      </c>
      <c r="AE40" s="378">
        <f t="shared" si="63"/>
        <v>20</v>
      </c>
      <c r="AF40" s="378">
        <f t="shared" si="63"/>
        <v>21</v>
      </c>
      <c r="AG40" s="378">
        <f t="shared" si="63"/>
        <v>22</v>
      </c>
      <c r="AH40" s="378">
        <f t="shared" si="63"/>
        <v>23</v>
      </c>
      <c r="AI40" s="378">
        <f t="shared" si="63"/>
        <v>24</v>
      </c>
      <c r="AJ40" s="378">
        <f t="shared" si="63"/>
        <v>25</v>
      </c>
      <c r="AK40" s="378">
        <f t="shared" si="63"/>
        <v>26</v>
      </c>
      <c r="AL40" s="378">
        <f t="shared" si="63"/>
        <v>27</v>
      </c>
      <c r="AM40" s="378">
        <f t="shared" si="63"/>
        <v>28</v>
      </c>
      <c r="AN40" s="378">
        <f t="shared" si="63"/>
        <v>29</v>
      </c>
      <c r="AO40" s="378">
        <f t="shared" si="63"/>
        <v>30</v>
      </c>
      <c r="AP40" s="378">
        <f t="shared" si="63"/>
        <v>31</v>
      </c>
      <c r="AQ40" s="378">
        <f t="shared" si="63"/>
        <v>32</v>
      </c>
      <c r="AR40" s="378">
        <f t="shared" si="63"/>
        <v>33</v>
      </c>
      <c r="AS40" s="378">
        <f t="shared" si="63"/>
        <v>34</v>
      </c>
      <c r="AT40" s="378">
        <f t="shared" si="63"/>
        <v>35</v>
      </c>
      <c r="AU40" s="378">
        <f t="shared" si="63"/>
        <v>36</v>
      </c>
      <c r="AV40" s="378">
        <f t="shared" si="63"/>
        <v>37</v>
      </c>
      <c r="AW40" s="378">
        <f t="shared" si="63"/>
        <v>38</v>
      </c>
      <c r="AX40" s="378">
        <f t="shared" si="63"/>
        <v>39</v>
      </c>
      <c r="AY40" s="378">
        <f t="shared" si="63"/>
        <v>40</v>
      </c>
      <c r="AZ40" s="378">
        <f t="shared" si="63"/>
        <v>41</v>
      </c>
      <c r="BA40" s="378">
        <f t="shared" si="63"/>
        <v>42</v>
      </c>
      <c r="BB40" s="378">
        <f t="shared" si="63"/>
        <v>43</v>
      </c>
      <c r="BC40" s="378">
        <f t="shared" si="63"/>
        <v>44</v>
      </c>
      <c r="BD40" s="378">
        <f t="shared" si="63"/>
        <v>45</v>
      </c>
      <c r="BE40" s="378">
        <f t="shared" si="63"/>
        <v>46</v>
      </c>
      <c r="BF40" s="378">
        <f t="shared" si="63"/>
        <v>47</v>
      </c>
      <c r="BG40" s="378">
        <f t="shared" si="63"/>
        <v>48</v>
      </c>
      <c r="BH40" s="378">
        <f t="shared" si="63"/>
        <v>49</v>
      </c>
      <c r="BI40" s="378">
        <f t="shared" si="63"/>
        <v>50</v>
      </c>
      <c r="BJ40" s="378">
        <f t="shared" si="63"/>
        <v>51</v>
      </c>
      <c r="BK40" s="378">
        <f t="shared" si="63"/>
        <v>52</v>
      </c>
      <c r="BL40" s="378">
        <f t="shared" si="63"/>
        <v>53</v>
      </c>
      <c r="BM40" s="378">
        <f t="shared" si="63"/>
        <v>54</v>
      </c>
      <c r="BN40" s="378">
        <f t="shared" si="63"/>
        <v>55</v>
      </c>
      <c r="BO40" s="378">
        <f t="shared" si="63"/>
        <v>56</v>
      </c>
      <c r="BP40" s="378">
        <f t="shared" si="63"/>
        <v>57</v>
      </c>
      <c r="BQ40" s="378">
        <f t="shared" si="63"/>
        <v>58</v>
      </c>
      <c r="BR40" s="378">
        <f t="shared" si="63"/>
        <v>59</v>
      </c>
      <c r="BS40" s="378">
        <f t="shared" si="63"/>
        <v>60</v>
      </c>
      <c r="BT40" s="301" t="s">
        <v>321</v>
      </c>
    </row>
    <row r="41" spans="1:72" hidden="1" outlineLevel="1">
      <c r="A41" s="89"/>
      <c r="B41" s="90"/>
      <c r="C41" s="91"/>
      <c r="D41" s="93"/>
      <c r="E41" s="93"/>
      <c r="F41" s="93"/>
      <c r="G41" s="93"/>
      <c r="H41" s="93"/>
      <c r="I41" s="93"/>
      <c r="J41" s="93"/>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301" t="s">
        <v>321</v>
      </c>
    </row>
    <row r="42" spans="1:72" hidden="1" outlineLevel="1">
      <c r="A42" s="96" t="s">
        <v>355</v>
      </c>
      <c r="B42" s="97"/>
      <c r="C42" s="98"/>
      <c r="D42" s="100"/>
      <c r="E42" s="100"/>
      <c r="F42" s="100"/>
      <c r="G42" s="100"/>
      <c r="H42" s="100"/>
      <c r="I42" s="100"/>
      <c r="J42" s="100"/>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301" t="s">
        <v>321</v>
      </c>
    </row>
    <row r="43" spans="1:72" hidden="1" outlineLevel="1">
      <c r="A43" s="96"/>
      <c r="B43" s="69" t="str">
        <f>B18</f>
        <v>PEP Straw 1</v>
      </c>
      <c r="C43" s="98"/>
      <c r="D43" s="369">
        <v>1.1000000000000001</v>
      </c>
      <c r="E43" s="369">
        <f>D43</f>
        <v>1.1000000000000001</v>
      </c>
      <c r="F43" s="369">
        <f>E43</f>
        <v>1.1000000000000001</v>
      </c>
      <c r="G43" s="369">
        <f t="shared" ref="G43:H43" si="64">F43</f>
        <v>1.1000000000000001</v>
      </c>
      <c r="H43" s="369">
        <f t="shared" si="64"/>
        <v>1.1000000000000001</v>
      </c>
      <c r="I43" s="303"/>
      <c r="J43" s="100"/>
      <c r="K43" s="373"/>
      <c r="L43" s="373">
        <f t="shared" ref="L43:W47" si="65">$D43</f>
        <v>1.1000000000000001</v>
      </c>
      <c r="M43" s="373">
        <f t="shared" si="65"/>
        <v>1.1000000000000001</v>
      </c>
      <c r="N43" s="373">
        <f t="shared" si="65"/>
        <v>1.1000000000000001</v>
      </c>
      <c r="O43" s="373">
        <f t="shared" si="65"/>
        <v>1.1000000000000001</v>
      </c>
      <c r="P43" s="373">
        <f t="shared" si="65"/>
        <v>1.1000000000000001</v>
      </c>
      <c r="Q43" s="373">
        <f t="shared" si="65"/>
        <v>1.1000000000000001</v>
      </c>
      <c r="R43" s="373">
        <f t="shared" si="65"/>
        <v>1.1000000000000001</v>
      </c>
      <c r="S43" s="373">
        <f t="shared" si="65"/>
        <v>1.1000000000000001</v>
      </c>
      <c r="T43" s="373">
        <f t="shared" si="65"/>
        <v>1.1000000000000001</v>
      </c>
      <c r="U43" s="373">
        <f t="shared" si="65"/>
        <v>1.1000000000000001</v>
      </c>
      <c r="V43" s="373">
        <f t="shared" si="65"/>
        <v>1.1000000000000001</v>
      </c>
      <c r="W43" s="373">
        <f t="shared" si="65"/>
        <v>1.1000000000000001</v>
      </c>
      <c r="X43" s="373">
        <f>$E43</f>
        <v>1.1000000000000001</v>
      </c>
      <c r="Y43" s="373">
        <f t="shared" ref="Y43:AI47" si="66">$E43</f>
        <v>1.1000000000000001</v>
      </c>
      <c r="Z43" s="373">
        <f t="shared" si="66"/>
        <v>1.1000000000000001</v>
      </c>
      <c r="AA43" s="373">
        <f t="shared" si="66"/>
        <v>1.1000000000000001</v>
      </c>
      <c r="AB43" s="373">
        <f t="shared" si="66"/>
        <v>1.1000000000000001</v>
      </c>
      <c r="AC43" s="373">
        <f t="shared" si="66"/>
        <v>1.1000000000000001</v>
      </c>
      <c r="AD43" s="373">
        <f t="shared" si="66"/>
        <v>1.1000000000000001</v>
      </c>
      <c r="AE43" s="373">
        <f t="shared" si="66"/>
        <v>1.1000000000000001</v>
      </c>
      <c r="AF43" s="373">
        <f t="shared" si="66"/>
        <v>1.1000000000000001</v>
      </c>
      <c r="AG43" s="373">
        <f t="shared" si="66"/>
        <v>1.1000000000000001</v>
      </c>
      <c r="AH43" s="373">
        <f t="shared" si="66"/>
        <v>1.1000000000000001</v>
      </c>
      <c r="AI43" s="373">
        <f t="shared" si="66"/>
        <v>1.1000000000000001</v>
      </c>
      <c r="AJ43" s="373">
        <f>$F43</f>
        <v>1.1000000000000001</v>
      </c>
      <c r="AK43" s="373">
        <f t="shared" ref="AK43:AU47" si="67">$F43</f>
        <v>1.1000000000000001</v>
      </c>
      <c r="AL43" s="373">
        <f t="shared" si="67"/>
        <v>1.1000000000000001</v>
      </c>
      <c r="AM43" s="373">
        <f t="shared" si="67"/>
        <v>1.1000000000000001</v>
      </c>
      <c r="AN43" s="373">
        <f t="shared" si="67"/>
        <v>1.1000000000000001</v>
      </c>
      <c r="AO43" s="373">
        <f t="shared" si="67"/>
        <v>1.1000000000000001</v>
      </c>
      <c r="AP43" s="373">
        <f t="shared" si="67"/>
        <v>1.1000000000000001</v>
      </c>
      <c r="AQ43" s="373">
        <f t="shared" si="67"/>
        <v>1.1000000000000001</v>
      </c>
      <c r="AR43" s="373">
        <f t="shared" si="67"/>
        <v>1.1000000000000001</v>
      </c>
      <c r="AS43" s="373">
        <f t="shared" si="67"/>
        <v>1.1000000000000001</v>
      </c>
      <c r="AT43" s="373">
        <f t="shared" si="67"/>
        <v>1.1000000000000001</v>
      </c>
      <c r="AU43" s="373">
        <f t="shared" si="67"/>
        <v>1.1000000000000001</v>
      </c>
      <c r="AV43" s="373">
        <f>$G43</f>
        <v>1.1000000000000001</v>
      </c>
      <c r="AW43" s="373">
        <f t="shared" ref="AW43:BG47" si="68">$G43</f>
        <v>1.1000000000000001</v>
      </c>
      <c r="AX43" s="373">
        <f t="shared" si="68"/>
        <v>1.1000000000000001</v>
      </c>
      <c r="AY43" s="373">
        <f t="shared" si="68"/>
        <v>1.1000000000000001</v>
      </c>
      <c r="AZ43" s="373">
        <f t="shared" si="68"/>
        <v>1.1000000000000001</v>
      </c>
      <c r="BA43" s="373">
        <f t="shared" si="68"/>
        <v>1.1000000000000001</v>
      </c>
      <c r="BB43" s="373">
        <f t="shared" si="68"/>
        <v>1.1000000000000001</v>
      </c>
      <c r="BC43" s="373">
        <f t="shared" si="68"/>
        <v>1.1000000000000001</v>
      </c>
      <c r="BD43" s="373">
        <f t="shared" si="68"/>
        <v>1.1000000000000001</v>
      </c>
      <c r="BE43" s="373">
        <f t="shared" si="68"/>
        <v>1.1000000000000001</v>
      </c>
      <c r="BF43" s="373">
        <f t="shared" si="68"/>
        <v>1.1000000000000001</v>
      </c>
      <c r="BG43" s="373">
        <f t="shared" si="68"/>
        <v>1.1000000000000001</v>
      </c>
      <c r="BH43" s="373">
        <f>$H43</f>
        <v>1.1000000000000001</v>
      </c>
      <c r="BI43" s="373">
        <f t="shared" ref="BI43:BS47" si="69">$H43</f>
        <v>1.1000000000000001</v>
      </c>
      <c r="BJ43" s="373">
        <f t="shared" si="69"/>
        <v>1.1000000000000001</v>
      </c>
      <c r="BK43" s="373">
        <f t="shared" si="69"/>
        <v>1.1000000000000001</v>
      </c>
      <c r="BL43" s="373">
        <f t="shared" si="69"/>
        <v>1.1000000000000001</v>
      </c>
      <c r="BM43" s="373">
        <f t="shared" si="69"/>
        <v>1.1000000000000001</v>
      </c>
      <c r="BN43" s="373">
        <f t="shared" si="69"/>
        <v>1.1000000000000001</v>
      </c>
      <c r="BO43" s="373">
        <f t="shared" si="69"/>
        <v>1.1000000000000001</v>
      </c>
      <c r="BP43" s="373">
        <f t="shared" si="69"/>
        <v>1.1000000000000001</v>
      </c>
      <c r="BQ43" s="373">
        <f t="shared" si="69"/>
        <v>1.1000000000000001</v>
      </c>
      <c r="BR43" s="373">
        <f t="shared" si="69"/>
        <v>1.1000000000000001</v>
      </c>
      <c r="BS43" s="373">
        <f t="shared" si="69"/>
        <v>1.1000000000000001</v>
      </c>
      <c r="BT43" s="301" t="s">
        <v>321</v>
      </c>
    </row>
    <row r="44" spans="1:72" hidden="1" outlineLevel="1">
      <c r="A44" s="96"/>
      <c r="B44" s="69" t="str">
        <f t="shared" ref="B44:B47" si="70">B19</f>
        <v>PEP Straw 2</v>
      </c>
      <c r="C44" s="98"/>
      <c r="D44" s="369">
        <v>1.1000000000000001</v>
      </c>
      <c r="E44" s="369">
        <f t="shared" ref="E44:H44" si="71">D44</f>
        <v>1.1000000000000001</v>
      </c>
      <c r="F44" s="369">
        <f t="shared" si="71"/>
        <v>1.1000000000000001</v>
      </c>
      <c r="G44" s="369">
        <f t="shared" si="71"/>
        <v>1.1000000000000001</v>
      </c>
      <c r="H44" s="369">
        <f t="shared" si="71"/>
        <v>1.1000000000000001</v>
      </c>
      <c r="I44" s="303"/>
      <c r="J44" s="100"/>
      <c r="K44" s="373"/>
      <c r="L44" s="373">
        <f t="shared" si="65"/>
        <v>1.1000000000000001</v>
      </c>
      <c r="M44" s="373">
        <f t="shared" si="65"/>
        <v>1.1000000000000001</v>
      </c>
      <c r="N44" s="373">
        <f t="shared" si="65"/>
        <v>1.1000000000000001</v>
      </c>
      <c r="O44" s="373">
        <f t="shared" si="65"/>
        <v>1.1000000000000001</v>
      </c>
      <c r="P44" s="373">
        <f t="shared" si="65"/>
        <v>1.1000000000000001</v>
      </c>
      <c r="Q44" s="373">
        <f t="shared" si="65"/>
        <v>1.1000000000000001</v>
      </c>
      <c r="R44" s="373">
        <f t="shared" si="65"/>
        <v>1.1000000000000001</v>
      </c>
      <c r="S44" s="373">
        <f t="shared" si="65"/>
        <v>1.1000000000000001</v>
      </c>
      <c r="T44" s="373">
        <f t="shared" si="65"/>
        <v>1.1000000000000001</v>
      </c>
      <c r="U44" s="373">
        <f t="shared" si="65"/>
        <v>1.1000000000000001</v>
      </c>
      <c r="V44" s="373">
        <f t="shared" si="65"/>
        <v>1.1000000000000001</v>
      </c>
      <c r="W44" s="373">
        <f t="shared" si="65"/>
        <v>1.1000000000000001</v>
      </c>
      <c r="X44" s="373">
        <f t="shared" ref="X44:X47" si="72">$E44</f>
        <v>1.1000000000000001</v>
      </c>
      <c r="Y44" s="373">
        <f t="shared" si="66"/>
        <v>1.1000000000000001</v>
      </c>
      <c r="Z44" s="373">
        <f t="shared" si="66"/>
        <v>1.1000000000000001</v>
      </c>
      <c r="AA44" s="373">
        <f t="shared" si="66"/>
        <v>1.1000000000000001</v>
      </c>
      <c r="AB44" s="373">
        <f t="shared" si="66"/>
        <v>1.1000000000000001</v>
      </c>
      <c r="AC44" s="373">
        <f t="shared" si="66"/>
        <v>1.1000000000000001</v>
      </c>
      <c r="AD44" s="373">
        <f t="shared" si="66"/>
        <v>1.1000000000000001</v>
      </c>
      <c r="AE44" s="373">
        <f t="shared" si="66"/>
        <v>1.1000000000000001</v>
      </c>
      <c r="AF44" s="373">
        <f t="shared" si="66"/>
        <v>1.1000000000000001</v>
      </c>
      <c r="AG44" s="373">
        <f t="shared" si="66"/>
        <v>1.1000000000000001</v>
      </c>
      <c r="AH44" s="373">
        <f t="shared" si="66"/>
        <v>1.1000000000000001</v>
      </c>
      <c r="AI44" s="373">
        <f t="shared" si="66"/>
        <v>1.1000000000000001</v>
      </c>
      <c r="AJ44" s="373">
        <f t="shared" ref="AJ44:AJ47" si="73">$F44</f>
        <v>1.1000000000000001</v>
      </c>
      <c r="AK44" s="373">
        <f t="shared" si="67"/>
        <v>1.1000000000000001</v>
      </c>
      <c r="AL44" s="373">
        <f t="shared" si="67"/>
        <v>1.1000000000000001</v>
      </c>
      <c r="AM44" s="373">
        <f t="shared" si="67"/>
        <v>1.1000000000000001</v>
      </c>
      <c r="AN44" s="373">
        <f t="shared" si="67"/>
        <v>1.1000000000000001</v>
      </c>
      <c r="AO44" s="373">
        <f t="shared" si="67"/>
        <v>1.1000000000000001</v>
      </c>
      <c r="AP44" s="373">
        <f t="shared" si="67"/>
        <v>1.1000000000000001</v>
      </c>
      <c r="AQ44" s="373">
        <f t="shared" si="67"/>
        <v>1.1000000000000001</v>
      </c>
      <c r="AR44" s="373">
        <f t="shared" si="67"/>
        <v>1.1000000000000001</v>
      </c>
      <c r="AS44" s="373">
        <f t="shared" si="67"/>
        <v>1.1000000000000001</v>
      </c>
      <c r="AT44" s="373">
        <f t="shared" si="67"/>
        <v>1.1000000000000001</v>
      </c>
      <c r="AU44" s="373">
        <f t="shared" si="67"/>
        <v>1.1000000000000001</v>
      </c>
      <c r="AV44" s="373">
        <f t="shared" ref="AV44:AV47" si="74">$G44</f>
        <v>1.1000000000000001</v>
      </c>
      <c r="AW44" s="373">
        <f t="shared" si="68"/>
        <v>1.1000000000000001</v>
      </c>
      <c r="AX44" s="373">
        <f t="shared" si="68"/>
        <v>1.1000000000000001</v>
      </c>
      <c r="AY44" s="373">
        <f t="shared" si="68"/>
        <v>1.1000000000000001</v>
      </c>
      <c r="AZ44" s="373">
        <f t="shared" si="68"/>
        <v>1.1000000000000001</v>
      </c>
      <c r="BA44" s="373">
        <f t="shared" si="68"/>
        <v>1.1000000000000001</v>
      </c>
      <c r="BB44" s="373">
        <f t="shared" si="68"/>
        <v>1.1000000000000001</v>
      </c>
      <c r="BC44" s="373">
        <f t="shared" si="68"/>
        <v>1.1000000000000001</v>
      </c>
      <c r="BD44" s="373">
        <f t="shared" si="68"/>
        <v>1.1000000000000001</v>
      </c>
      <c r="BE44" s="373">
        <f t="shared" si="68"/>
        <v>1.1000000000000001</v>
      </c>
      <c r="BF44" s="373">
        <f t="shared" si="68"/>
        <v>1.1000000000000001</v>
      </c>
      <c r="BG44" s="373">
        <f t="shared" si="68"/>
        <v>1.1000000000000001</v>
      </c>
      <c r="BH44" s="373">
        <f t="shared" ref="BH44:BH47" si="75">$H44</f>
        <v>1.1000000000000001</v>
      </c>
      <c r="BI44" s="373">
        <f t="shared" si="69"/>
        <v>1.1000000000000001</v>
      </c>
      <c r="BJ44" s="373">
        <f t="shared" si="69"/>
        <v>1.1000000000000001</v>
      </c>
      <c r="BK44" s="373">
        <f t="shared" si="69"/>
        <v>1.1000000000000001</v>
      </c>
      <c r="BL44" s="373">
        <f t="shared" si="69"/>
        <v>1.1000000000000001</v>
      </c>
      <c r="BM44" s="373">
        <f t="shared" si="69"/>
        <v>1.1000000000000001</v>
      </c>
      <c r="BN44" s="373">
        <f t="shared" si="69"/>
        <v>1.1000000000000001</v>
      </c>
      <c r="BO44" s="373">
        <f t="shared" si="69"/>
        <v>1.1000000000000001</v>
      </c>
      <c r="BP44" s="373">
        <f t="shared" si="69"/>
        <v>1.1000000000000001</v>
      </c>
      <c r="BQ44" s="373">
        <f t="shared" si="69"/>
        <v>1.1000000000000001</v>
      </c>
      <c r="BR44" s="373">
        <f t="shared" si="69"/>
        <v>1.1000000000000001</v>
      </c>
      <c r="BS44" s="373">
        <f t="shared" si="69"/>
        <v>1.1000000000000001</v>
      </c>
      <c r="BT44" s="301" t="s">
        <v>321</v>
      </c>
    </row>
    <row r="45" spans="1:72" hidden="1" outlineLevel="1">
      <c r="A45" s="96"/>
      <c r="B45" s="69" t="str">
        <f t="shared" si="70"/>
        <v>PEP Straw 3</v>
      </c>
      <c r="C45" s="98"/>
      <c r="D45" s="369">
        <v>1.1000000000000001</v>
      </c>
      <c r="E45" s="369">
        <f t="shared" ref="E45:H45" si="76">D45</f>
        <v>1.1000000000000001</v>
      </c>
      <c r="F45" s="369">
        <f t="shared" si="76"/>
        <v>1.1000000000000001</v>
      </c>
      <c r="G45" s="369">
        <f t="shared" si="76"/>
        <v>1.1000000000000001</v>
      </c>
      <c r="H45" s="369">
        <f t="shared" si="76"/>
        <v>1.1000000000000001</v>
      </c>
      <c r="I45" s="303"/>
      <c r="J45" s="100"/>
      <c r="K45" s="373"/>
      <c r="L45" s="373">
        <f t="shared" si="65"/>
        <v>1.1000000000000001</v>
      </c>
      <c r="M45" s="373">
        <f t="shared" si="65"/>
        <v>1.1000000000000001</v>
      </c>
      <c r="N45" s="373">
        <f t="shared" si="65"/>
        <v>1.1000000000000001</v>
      </c>
      <c r="O45" s="373">
        <f t="shared" si="65"/>
        <v>1.1000000000000001</v>
      </c>
      <c r="P45" s="373">
        <f t="shared" si="65"/>
        <v>1.1000000000000001</v>
      </c>
      <c r="Q45" s="373">
        <f t="shared" si="65"/>
        <v>1.1000000000000001</v>
      </c>
      <c r="R45" s="373">
        <f t="shared" si="65"/>
        <v>1.1000000000000001</v>
      </c>
      <c r="S45" s="373">
        <f t="shared" si="65"/>
        <v>1.1000000000000001</v>
      </c>
      <c r="T45" s="373">
        <f t="shared" si="65"/>
        <v>1.1000000000000001</v>
      </c>
      <c r="U45" s="373">
        <f t="shared" si="65"/>
        <v>1.1000000000000001</v>
      </c>
      <c r="V45" s="373">
        <f t="shared" si="65"/>
        <v>1.1000000000000001</v>
      </c>
      <c r="W45" s="373">
        <f t="shared" si="65"/>
        <v>1.1000000000000001</v>
      </c>
      <c r="X45" s="373">
        <f t="shared" si="72"/>
        <v>1.1000000000000001</v>
      </c>
      <c r="Y45" s="373">
        <f t="shared" si="66"/>
        <v>1.1000000000000001</v>
      </c>
      <c r="Z45" s="373">
        <f t="shared" si="66"/>
        <v>1.1000000000000001</v>
      </c>
      <c r="AA45" s="373">
        <f t="shared" si="66"/>
        <v>1.1000000000000001</v>
      </c>
      <c r="AB45" s="373">
        <f t="shared" si="66"/>
        <v>1.1000000000000001</v>
      </c>
      <c r="AC45" s="373">
        <f t="shared" si="66"/>
        <v>1.1000000000000001</v>
      </c>
      <c r="AD45" s="373">
        <f t="shared" si="66"/>
        <v>1.1000000000000001</v>
      </c>
      <c r="AE45" s="373">
        <f t="shared" si="66"/>
        <v>1.1000000000000001</v>
      </c>
      <c r="AF45" s="373">
        <f t="shared" si="66"/>
        <v>1.1000000000000001</v>
      </c>
      <c r="AG45" s="373">
        <f t="shared" si="66"/>
        <v>1.1000000000000001</v>
      </c>
      <c r="AH45" s="373">
        <f t="shared" si="66"/>
        <v>1.1000000000000001</v>
      </c>
      <c r="AI45" s="373">
        <f t="shared" si="66"/>
        <v>1.1000000000000001</v>
      </c>
      <c r="AJ45" s="373">
        <f t="shared" si="73"/>
        <v>1.1000000000000001</v>
      </c>
      <c r="AK45" s="373">
        <f t="shared" si="67"/>
        <v>1.1000000000000001</v>
      </c>
      <c r="AL45" s="373">
        <f t="shared" si="67"/>
        <v>1.1000000000000001</v>
      </c>
      <c r="AM45" s="373">
        <f t="shared" si="67"/>
        <v>1.1000000000000001</v>
      </c>
      <c r="AN45" s="373">
        <f t="shared" si="67"/>
        <v>1.1000000000000001</v>
      </c>
      <c r="AO45" s="373">
        <f t="shared" si="67"/>
        <v>1.1000000000000001</v>
      </c>
      <c r="AP45" s="373">
        <f t="shared" si="67"/>
        <v>1.1000000000000001</v>
      </c>
      <c r="AQ45" s="373">
        <f t="shared" si="67"/>
        <v>1.1000000000000001</v>
      </c>
      <c r="AR45" s="373">
        <f t="shared" si="67"/>
        <v>1.1000000000000001</v>
      </c>
      <c r="AS45" s="373">
        <f t="shared" si="67"/>
        <v>1.1000000000000001</v>
      </c>
      <c r="AT45" s="373">
        <f t="shared" si="67"/>
        <v>1.1000000000000001</v>
      </c>
      <c r="AU45" s="373">
        <f t="shared" si="67"/>
        <v>1.1000000000000001</v>
      </c>
      <c r="AV45" s="373">
        <f t="shared" si="74"/>
        <v>1.1000000000000001</v>
      </c>
      <c r="AW45" s="373">
        <f t="shared" si="68"/>
        <v>1.1000000000000001</v>
      </c>
      <c r="AX45" s="373">
        <f t="shared" si="68"/>
        <v>1.1000000000000001</v>
      </c>
      <c r="AY45" s="373">
        <f t="shared" si="68"/>
        <v>1.1000000000000001</v>
      </c>
      <c r="AZ45" s="373">
        <f t="shared" si="68"/>
        <v>1.1000000000000001</v>
      </c>
      <c r="BA45" s="373">
        <f t="shared" si="68"/>
        <v>1.1000000000000001</v>
      </c>
      <c r="BB45" s="373">
        <f t="shared" si="68"/>
        <v>1.1000000000000001</v>
      </c>
      <c r="BC45" s="373">
        <f t="shared" si="68"/>
        <v>1.1000000000000001</v>
      </c>
      <c r="BD45" s="373">
        <f t="shared" si="68"/>
        <v>1.1000000000000001</v>
      </c>
      <c r="BE45" s="373">
        <f t="shared" si="68"/>
        <v>1.1000000000000001</v>
      </c>
      <c r="BF45" s="373">
        <f t="shared" si="68"/>
        <v>1.1000000000000001</v>
      </c>
      <c r="BG45" s="373">
        <f t="shared" si="68"/>
        <v>1.1000000000000001</v>
      </c>
      <c r="BH45" s="373">
        <f t="shared" si="75"/>
        <v>1.1000000000000001</v>
      </c>
      <c r="BI45" s="373">
        <f t="shared" si="69"/>
        <v>1.1000000000000001</v>
      </c>
      <c r="BJ45" s="373">
        <f t="shared" si="69"/>
        <v>1.1000000000000001</v>
      </c>
      <c r="BK45" s="373">
        <f t="shared" si="69"/>
        <v>1.1000000000000001</v>
      </c>
      <c r="BL45" s="373">
        <f t="shared" si="69"/>
        <v>1.1000000000000001</v>
      </c>
      <c r="BM45" s="373">
        <f t="shared" si="69"/>
        <v>1.1000000000000001</v>
      </c>
      <c r="BN45" s="373">
        <f t="shared" si="69"/>
        <v>1.1000000000000001</v>
      </c>
      <c r="BO45" s="373">
        <f t="shared" si="69"/>
        <v>1.1000000000000001</v>
      </c>
      <c r="BP45" s="373">
        <f t="shared" si="69"/>
        <v>1.1000000000000001</v>
      </c>
      <c r="BQ45" s="373">
        <f t="shared" si="69"/>
        <v>1.1000000000000001</v>
      </c>
      <c r="BR45" s="373">
        <f t="shared" si="69"/>
        <v>1.1000000000000001</v>
      </c>
      <c r="BS45" s="373">
        <f t="shared" si="69"/>
        <v>1.1000000000000001</v>
      </c>
      <c r="BT45" s="301" t="s">
        <v>321</v>
      </c>
    </row>
    <row r="46" spans="1:72" hidden="1" outlineLevel="1">
      <c r="A46" s="96"/>
      <c r="B46" s="69" t="str">
        <f t="shared" si="70"/>
        <v>PRODUCT 4</v>
      </c>
      <c r="C46" s="98"/>
      <c r="D46" s="369">
        <v>0</v>
      </c>
      <c r="E46" s="369">
        <f t="shared" ref="E46:H46" si="77">D46</f>
        <v>0</v>
      </c>
      <c r="F46" s="369">
        <f t="shared" si="77"/>
        <v>0</v>
      </c>
      <c r="G46" s="369">
        <f t="shared" si="77"/>
        <v>0</v>
      </c>
      <c r="H46" s="369">
        <f t="shared" si="77"/>
        <v>0</v>
      </c>
      <c r="I46" s="303"/>
      <c r="J46" s="100"/>
      <c r="K46" s="373"/>
      <c r="L46" s="373">
        <f t="shared" si="65"/>
        <v>0</v>
      </c>
      <c r="M46" s="373">
        <f t="shared" si="65"/>
        <v>0</v>
      </c>
      <c r="N46" s="373">
        <f t="shared" si="65"/>
        <v>0</v>
      </c>
      <c r="O46" s="373">
        <f t="shared" si="65"/>
        <v>0</v>
      </c>
      <c r="P46" s="373">
        <f t="shared" si="65"/>
        <v>0</v>
      </c>
      <c r="Q46" s="373">
        <f t="shared" si="65"/>
        <v>0</v>
      </c>
      <c r="R46" s="373">
        <f t="shared" si="65"/>
        <v>0</v>
      </c>
      <c r="S46" s="373">
        <f t="shared" si="65"/>
        <v>0</v>
      </c>
      <c r="T46" s="373">
        <f t="shared" si="65"/>
        <v>0</v>
      </c>
      <c r="U46" s="373">
        <f t="shared" si="65"/>
        <v>0</v>
      </c>
      <c r="V46" s="373">
        <f t="shared" si="65"/>
        <v>0</v>
      </c>
      <c r="W46" s="373">
        <f t="shared" si="65"/>
        <v>0</v>
      </c>
      <c r="X46" s="373">
        <f t="shared" si="72"/>
        <v>0</v>
      </c>
      <c r="Y46" s="373">
        <f t="shared" si="66"/>
        <v>0</v>
      </c>
      <c r="Z46" s="373">
        <f t="shared" si="66"/>
        <v>0</v>
      </c>
      <c r="AA46" s="373">
        <f t="shared" si="66"/>
        <v>0</v>
      </c>
      <c r="AB46" s="373">
        <f t="shared" si="66"/>
        <v>0</v>
      </c>
      <c r="AC46" s="373">
        <f t="shared" si="66"/>
        <v>0</v>
      </c>
      <c r="AD46" s="373">
        <f t="shared" si="66"/>
        <v>0</v>
      </c>
      <c r="AE46" s="373">
        <f t="shared" si="66"/>
        <v>0</v>
      </c>
      <c r="AF46" s="373">
        <f t="shared" si="66"/>
        <v>0</v>
      </c>
      <c r="AG46" s="373">
        <f t="shared" si="66"/>
        <v>0</v>
      </c>
      <c r="AH46" s="373">
        <f t="shared" si="66"/>
        <v>0</v>
      </c>
      <c r="AI46" s="373">
        <f t="shared" si="66"/>
        <v>0</v>
      </c>
      <c r="AJ46" s="373">
        <f t="shared" si="73"/>
        <v>0</v>
      </c>
      <c r="AK46" s="373">
        <f t="shared" si="67"/>
        <v>0</v>
      </c>
      <c r="AL46" s="373">
        <f t="shared" si="67"/>
        <v>0</v>
      </c>
      <c r="AM46" s="373">
        <f t="shared" si="67"/>
        <v>0</v>
      </c>
      <c r="AN46" s="373">
        <f t="shared" si="67"/>
        <v>0</v>
      </c>
      <c r="AO46" s="373">
        <f t="shared" si="67"/>
        <v>0</v>
      </c>
      <c r="AP46" s="373">
        <f t="shared" si="67"/>
        <v>0</v>
      </c>
      <c r="AQ46" s="373">
        <f t="shared" si="67"/>
        <v>0</v>
      </c>
      <c r="AR46" s="373">
        <f t="shared" si="67"/>
        <v>0</v>
      </c>
      <c r="AS46" s="373">
        <f t="shared" si="67"/>
        <v>0</v>
      </c>
      <c r="AT46" s="373">
        <f t="shared" si="67"/>
        <v>0</v>
      </c>
      <c r="AU46" s="373">
        <f t="shared" si="67"/>
        <v>0</v>
      </c>
      <c r="AV46" s="373">
        <f t="shared" si="74"/>
        <v>0</v>
      </c>
      <c r="AW46" s="373">
        <f t="shared" si="68"/>
        <v>0</v>
      </c>
      <c r="AX46" s="373">
        <f t="shared" si="68"/>
        <v>0</v>
      </c>
      <c r="AY46" s="373">
        <f t="shared" si="68"/>
        <v>0</v>
      </c>
      <c r="AZ46" s="373">
        <f t="shared" si="68"/>
        <v>0</v>
      </c>
      <c r="BA46" s="373">
        <f t="shared" si="68"/>
        <v>0</v>
      </c>
      <c r="BB46" s="373">
        <f t="shared" si="68"/>
        <v>0</v>
      </c>
      <c r="BC46" s="373">
        <f t="shared" si="68"/>
        <v>0</v>
      </c>
      <c r="BD46" s="373">
        <f t="shared" si="68"/>
        <v>0</v>
      </c>
      <c r="BE46" s="373">
        <f t="shared" si="68"/>
        <v>0</v>
      </c>
      <c r="BF46" s="373">
        <f t="shared" si="68"/>
        <v>0</v>
      </c>
      <c r="BG46" s="373">
        <f t="shared" si="68"/>
        <v>0</v>
      </c>
      <c r="BH46" s="373">
        <f t="shared" si="75"/>
        <v>0</v>
      </c>
      <c r="BI46" s="373">
        <f t="shared" si="69"/>
        <v>0</v>
      </c>
      <c r="BJ46" s="373">
        <f t="shared" si="69"/>
        <v>0</v>
      </c>
      <c r="BK46" s="373">
        <f t="shared" si="69"/>
        <v>0</v>
      </c>
      <c r="BL46" s="373">
        <f t="shared" si="69"/>
        <v>0</v>
      </c>
      <c r="BM46" s="373">
        <f t="shared" si="69"/>
        <v>0</v>
      </c>
      <c r="BN46" s="373">
        <f t="shared" si="69"/>
        <v>0</v>
      </c>
      <c r="BO46" s="373">
        <f t="shared" si="69"/>
        <v>0</v>
      </c>
      <c r="BP46" s="373">
        <f t="shared" si="69"/>
        <v>0</v>
      </c>
      <c r="BQ46" s="373">
        <f t="shared" si="69"/>
        <v>0</v>
      </c>
      <c r="BR46" s="373">
        <f t="shared" si="69"/>
        <v>0</v>
      </c>
      <c r="BS46" s="373">
        <f t="shared" si="69"/>
        <v>0</v>
      </c>
      <c r="BT46" s="301" t="s">
        <v>321</v>
      </c>
    </row>
    <row r="47" spans="1:72" hidden="1" outlineLevel="1">
      <c r="A47" s="96"/>
      <c r="B47" s="69" t="str">
        <f t="shared" si="70"/>
        <v>PRODUCT 5</v>
      </c>
      <c r="C47" s="98"/>
      <c r="D47" s="369">
        <v>0</v>
      </c>
      <c r="E47" s="369">
        <f t="shared" ref="E47:H47" si="78">D47</f>
        <v>0</v>
      </c>
      <c r="F47" s="369">
        <f t="shared" si="78"/>
        <v>0</v>
      </c>
      <c r="G47" s="369">
        <f t="shared" si="78"/>
        <v>0</v>
      </c>
      <c r="H47" s="369">
        <f t="shared" si="78"/>
        <v>0</v>
      </c>
      <c r="I47" s="303"/>
      <c r="J47" s="100"/>
      <c r="K47" s="373"/>
      <c r="L47" s="373">
        <f t="shared" si="65"/>
        <v>0</v>
      </c>
      <c r="M47" s="373">
        <f t="shared" si="65"/>
        <v>0</v>
      </c>
      <c r="N47" s="373">
        <f t="shared" si="65"/>
        <v>0</v>
      </c>
      <c r="O47" s="373">
        <f t="shared" si="65"/>
        <v>0</v>
      </c>
      <c r="P47" s="373">
        <f t="shared" si="65"/>
        <v>0</v>
      </c>
      <c r="Q47" s="373">
        <f t="shared" si="65"/>
        <v>0</v>
      </c>
      <c r="R47" s="373">
        <f t="shared" si="65"/>
        <v>0</v>
      </c>
      <c r="S47" s="373">
        <f t="shared" si="65"/>
        <v>0</v>
      </c>
      <c r="T47" s="373">
        <f t="shared" si="65"/>
        <v>0</v>
      </c>
      <c r="U47" s="373">
        <f t="shared" si="65"/>
        <v>0</v>
      </c>
      <c r="V47" s="373">
        <f t="shared" si="65"/>
        <v>0</v>
      </c>
      <c r="W47" s="373">
        <f t="shared" si="65"/>
        <v>0</v>
      </c>
      <c r="X47" s="373">
        <f t="shared" si="72"/>
        <v>0</v>
      </c>
      <c r="Y47" s="373">
        <f t="shared" si="66"/>
        <v>0</v>
      </c>
      <c r="Z47" s="373">
        <f t="shared" si="66"/>
        <v>0</v>
      </c>
      <c r="AA47" s="373">
        <f t="shared" si="66"/>
        <v>0</v>
      </c>
      <c r="AB47" s="373">
        <f t="shared" si="66"/>
        <v>0</v>
      </c>
      <c r="AC47" s="373">
        <f t="shared" si="66"/>
        <v>0</v>
      </c>
      <c r="AD47" s="373">
        <f t="shared" si="66"/>
        <v>0</v>
      </c>
      <c r="AE47" s="373">
        <f t="shared" si="66"/>
        <v>0</v>
      </c>
      <c r="AF47" s="373">
        <f t="shared" si="66"/>
        <v>0</v>
      </c>
      <c r="AG47" s="373">
        <f t="shared" si="66"/>
        <v>0</v>
      </c>
      <c r="AH47" s="373">
        <f t="shared" si="66"/>
        <v>0</v>
      </c>
      <c r="AI47" s="373">
        <f t="shared" si="66"/>
        <v>0</v>
      </c>
      <c r="AJ47" s="373">
        <f t="shared" si="73"/>
        <v>0</v>
      </c>
      <c r="AK47" s="373">
        <f t="shared" si="67"/>
        <v>0</v>
      </c>
      <c r="AL47" s="373">
        <f t="shared" si="67"/>
        <v>0</v>
      </c>
      <c r="AM47" s="373">
        <f t="shared" si="67"/>
        <v>0</v>
      </c>
      <c r="AN47" s="373">
        <f t="shared" si="67"/>
        <v>0</v>
      </c>
      <c r="AO47" s="373">
        <f t="shared" si="67"/>
        <v>0</v>
      </c>
      <c r="AP47" s="373">
        <f t="shared" si="67"/>
        <v>0</v>
      </c>
      <c r="AQ47" s="373">
        <f t="shared" si="67"/>
        <v>0</v>
      </c>
      <c r="AR47" s="373">
        <f t="shared" si="67"/>
        <v>0</v>
      </c>
      <c r="AS47" s="373">
        <f t="shared" si="67"/>
        <v>0</v>
      </c>
      <c r="AT47" s="373">
        <f t="shared" si="67"/>
        <v>0</v>
      </c>
      <c r="AU47" s="373">
        <f t="shared" si="67"/>
        <v>0</v>
      </c>
      <c r="AV47" s="373">
        <f t="shared" si="74"/>
        <v>0</v>
      </c>
      <c r="AW47" s="373">
        <f t="shared" si="68"/>
        <v>0</v>
      </c>
      <c r="AX47" s="373">
        <f t="shared" si="68"/>
        <v>0</v>
      </c>
      <c r="AY47" s="373">
        <f t="shared" si="68"/>
        <v>0</v>
      </c>
      <c r="AZ47" s="373">
        <f t="shared" si="68"/>
        <v>0</v>
      </c>
      <c r="BA47" s="373">
        <f t="shared" si="68"/>
        <v>0</v>
      </c>
      <c r="BB47" s="373">
        <f t="shared" si="68"/>
        <v>0</v>
      </c>
      <c r="BC47" s="373">
        <f t="shared" si="68"/>
        <v>0</v>
      </c>
      <c r="BD47" s="373">
        <f t="shared" si="68"/>
        <v>0</v>
      </c>
      <c r="BE47" s="373">
        <f t="shared" si="68"/>
        <v>0</v>
      </c>
      <c r="BF47" s="373">
        <f t="shared" si="68"/>
        <v>0</v>
      </c>
      <c r="BG47" s="373">
        <f t="shared" si="68"/>
        <v>0</v>
      </c>
      <c r="BH47" s="373">
        <f t="shared" si="75"/>
        <v>0</v>
      </c>
      <c r="BI47" s="373">
        <f t="shared" si="69"/>
        <v>0</v>
      </c>
      <c r="BJ47" s="373">
        <f t="shared" si="69"/>
        <v>0</v>
      </c>
      <c r="BK47" s="373">
        <f t="shared" si="69"/>
        <v>0</v>
      </c>
      <c r="BL47" s="373">
        <f t="shared" si="69"/>
        <v>0</v>
      </c>
      <c r="BM47" s="373">
        <f t="shared" si="69"/>
        <v>0</v>
      </c>
      <c r="BN47" s="373">
        <f t="shared" si="69"/>
        <v>0</v>
      </c>
      <c r="BO47" s="373">
        <f t="shared" si="69"/>
        <v>0</v>
      </c>
      <c r="BP47" s="373">
        <f t="shared" si="69"/>
        <v>0</v>
      </c>
      <c r="BQ47" s="373">
        <f t="shared" si="69"/>
        <v>0</v>
      </c>
      <c r="BR47" s="373">
        <f t="shared" si="69"/>
        <v>0</v>
      </c>
      <c r="BS47" s="373">
        <f t="shared" si="69"/>
        <v>0</v>
      </c>
      <c r="BT47" s="301" t="s">
        <v>321</v>
      </c>
    </row>
    <row r="48" spans="1:72" hidden="1" outlineLevel="1">
      <c r="A48" s="96"/>
      <c r="B48" s="97"/>
      <c r="C48" s="98"/>
      <c r="D48" s="100"/>
      <c r="E48" s="100"/>
      <c r="F48" s="100"/>
      <c r="G48" s="100"/>
      <c r="H48" s="100"/>
      <c r="I48" s="100"/>
      <c r="J48" s="100"/>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301" t="s">
        <v>321</v>
      </c>
    </row>
    <row r="49" spans="1:72" collapsed="1">
      <c r="A49" s="96"/>
      <c r="B49" s="97"/>
      <c r="C49" s="98"/>
      <c r="D49" s="193">
        <f>D38/D23</f>
        <v>0.57363421276595739</v>
      </c>
      <c r="E49" s="100"/>
      <c r="F49" s="100"/>
      <c r="G49" s="100"/>
      <c r="H49" s="100"/>
      <c r="I49" s="100"/>
      <c r="J49" s="100"/>
      <c r="K49" s="99"/>
      <c r="L49" s="99"/>
      <c r="M49" s="99"/>
      <c r="N49" s="99"/>
      <c r="O49" s="99"/>
      <c r="P49" s="99"/>
      <c r="Q49" s="99"/>
      <c r="R49" s="99"/>
      <c r="S49" s="99"/>
      <c r="T49" s="99"/>
      <c r="U49" s="99"/>
      <c r="V49" s="99"/>
      <c r="W49" s="99"/>
      <c r="X49" s="99"/>
      <c r="Y49" s="99"/>
      <c r="Z49" s="99"/>
      <c r="AA49" s="99"/>
      <c r="AB49" s="99"/>
      <c r="AC49" s="99"/>
      <c r="AD49" s="99"/>
      <c r="AE49" s="99"/>
      <c r="AF49" s="99"/>
      <c r="AG49" s="99"/>
      <c r="AH49" s="99"/>
      <c r="BT49" s="301" t="s">
        <v>321</v>
      </c>
    </row>
    <row r="50" spans="1:72">
      <c r="A50" s="96"/>
      <c r="B50" s="97"/>
      <c r="C50" s="98"/>
      <c r="D50" s="100">
        <f>D23*1.05</f>
        <v>370125</v>
      </c>
      <c r="E50" s="100"/>
      <c r="F50" s="100"/>
      <c r="G50" s="100"/>
      <c r="H50" s="100"/>
      <c r="I50" s="100"/>
      <c r="J50" s="100"/>
      <c r="K50" s="99"/>
      <c r="L50" s="99"/>
      <c r="M50" s="99"/>
      <c r="N50" s="99"/>
      <c r="O50" s="99"/>
      <c r="P50" s="99"/>
      <c r="Q50" s="99"/>
      <c r="R50" s="99"/>
      <c r="S50" s="99"/>
      <c r="T50" s="99"/>
      <c r="U50" s="99"/>
      <c r="V50" s="99"/>
      <c r="W50" s="99"/>
      <c r="X50" s="99"/>
      <c r="Y50" s="99"/>
      <c r="Z50" s="99"/>
      <c r="AA50" s="99"/>
      <c r="AB50" s="99"/>
      <c r="AC50" s="99"/>
      <c r="AD50" s="99"/>
      <c r="AE50" s="99"/>
      <c r="AF50" s="99"/>
      <c r="AG50" s="99"/>
      <c r="AH50" s="99"/>
      <c r="BT50" s="301" t="s">
        <v>321</v>
      </c>
    </row>
    <row r="51" spans="1:72">
      <c r="A51" s="96"/>
      <c r="B51" s="97"/>
      <c r="C51" s="98"/>
      <c r="D51" s="100"/>
      <c r="E51" s="100"/>
      <c r="F51" s="100"/>
      <c r="G51" s="100"/>
      <c r="H51" s="100"/>
      <c r="I51" s="100"/>
      <c r="J51" s="100"/>
      <c r="K51" s="99"/>
      <c r="L51" s="99"/>
      <c r="M51" s="99"/>
      <c r="N51" s="99"/>
      <c r="O51" s="99"/>
      <c r="P51" s="99"/>
      <c r="Q51" s="99"/>
      <c r="R51" s="99"/>
      <c r="S51" s="99"/>
      <c r="T51" s="99"/>
      <c r="U51" s="99"/>
      <c r="V51" s="99"/>
      <c r="W51" s="99"/>
      <c r="X51" s="99"/>
      <c r="Y51" s="99"/>
      <c r="Z51" s="99"/>
      <c r="AA51" s="99"/>
      <c r="AB51" s="99"/>
      <c r="AC51" s="99"/>
      <c r="AD51" s="99"/>
      <c r="AE51" s="99"/>
      <c r="AF51" s="99"/>
      <c r="AG51" s="99"/>
      <c r="AH51" s="99"/>
      <c r="BT51" s="301" t="s">
        <v>321</v>
      </c>
    </row>
    <row r="52" spans="1:72">
      <c r="BT52" s="301" t="s">
        <v>321</v>
      </c>
    </row>
    <row r="53" spans="1:72" ht="7.5">
      <c r="A53" s="301" t="s">
        <v>321</v>
      </c>
      <c r="B53" s="301" t="s">
        <v>321</v>
      </c>
      <c r="C53" s="301" t="s">
        <v>321</v>
      </c>
      <c r="D53" s="301" t="s">
        <v>321</v>
      </c>
      <c r="E53" s="301" t="s">
        <v>321</v>
      </c>
      <c r="F53" s="301" t="s">
        <v>321</v>
      </c>
      <c r="G53" s="301" t="s">
        <v>321</v>
      </c>
      <c r="H53" s="301" t="s">
        <v>321</v>
      </c>
      <c r="I53" s="301"/>
      <c r="J53" s="301" t="s">
        <v>321</v>
      </c>
      <c r="K53" s="301" t="s">
        <v>321</v>
      </c>
      <c r="L53" s="301" t="s">
        <v>321</v>
      </c>
      <c r="M53" s="301" t="s">
        <v>321</v>
      </c>
      <c r="N53" s="301" t="s">
        <v>321</v>
      </c>
      <c r="O53" s="301" t="s">
        <v>321</v>
      </c>
      <c r="P53" s="301" t="s">
        <v>321</v>
      </c>
      <c r="Q53" s="301" t="s">
        <v>321</v>
      </c>
      <c r="R53" s="301" t="s">
        <v>321</v>
      </c>
      <c r="S53" s="301" t="s">
        <v>321</v>
      </c>
      <c r="T53" s="301" t="s">
        <v>321</v>
      </c>
      <c r="U53" s="301" t="s">
        <v>321</v>
      </c>
      <c r="V53" s="301" t="s">
        <v>321</v>
      </c>
      <c r="W53" s="301" t="s">
        <v>321</v>
      </c>
      <c r="X53" s="301" t="s">
        <v>321</v>
      </c>
      <c r="Y53" s="301" t="s">
        <v>321</v>
      </c>
      <c r="Z53" s="301" t="s">
        <v>321</v>
      </c>
      <c r="AA53" s="301" t="s">
        <v>321</v>
      </c>
      <c r="AB53" s="301" t="s">
        <v>321</v>
      </c>
      <c r="AC53" s="301" t="s">
        <v>321</v>
      </c>
      <c r="AD53" s="301" t="s">
        <v>321</v>
      </c>
      <c r="AE53" s="301" t="s">
        <v>321</v>
      </c>
      <c r="AF53" s="301" t="s">
        <v>321</v>
      </c>
      <c r="AG53" s="301" t="s">
        <v>321</v>
      </c>
      <c r="AH53" s="301" t="s">
        <v>321</v>
      </c>
      <c r="AI53" s="301" t="s">
        <v>321</v>
      </c>
      <c r="AJ53" s="301" t="s">
        <v>321</v>
      </c>
      <c r="AK53" s="301" t="s">
        <v>321</v>
      </c>
      <c r="AL53" s="301" t="s">
        <v>321</v>
      </c>
      <c r="AM53" s="301" t="s">
        <v>321</v>
      </c>
      <c r="AN53" s="301" t="s">
        <v>321</v>
      </c>
      <c r="AO53" s="301" t="s">
        <v>321</v>
      </c>
      <c r="AP53" s="301" t="s">
        <v>321</v>
      </c>
      <c r="AQ53" s="301" t="s">
        <v>321</v>
      </c>
      <c r="AR53" s="301" t="s">
        <v>321</v>
      </c>
      <c r="AS53" s="301" t="s">
        <v>321</v>
      </c>
      <c r="AT53" s="301" t="s">
        <v>321</v>
      </c>
      <c r="AU53" s="301" t="s">
        <v>321</v>
      </c>
      <c r="AV53" s="301" t="s">
        <v>321</v>
      </c>
      <c r="AW53" s="301" t="s">
        <v>321</v>
      </c>
      <c r="AX53" s="301" t="s">
        <v>321</v>
      </c>
      <c r="AY53" s="301" t="s">
        <v>321</v>
      </c>
      <c r="AZ53" s="301" t="s">
        <v>321</v>
      </c>
      <c r="BA53" s="301" t="s">
        <v>321</v>
      </c>
      <c r="BB53" s="301" t="s">
        <v>321</v>
      </c>
      <c r="BC53" s="301" t="s">
        <v>321</v>
      </c>
      <c r="BD53" s="301" t="s">
        <v>321</v>
      </c>
      <c r="BE53" s="301" t="s">
        <v>321</v>
      </c>
      <c r="BF53" s="301" t="s">
        <v>321</v>
      </c>
      <c r="BG53" s="301" t="s">
        <v>321</v>
      </c>
      <c r="BH53" s="301" t="s">
        <v>321</v>
      </c>
      <c r="BI53" s="301" t="s">
        <v>321</v>
      </c>
      <c r="BJ53" s="301" t="s">
        <v>321</v>
      </c>
      <c r="BK53" s="301" t="s">
        <v>321</v>
      </c>
      <c r="BL53" s="301" t="s">
        <v>321</v>
      </c>
      <c r="BM53" s="301" t="s">
        <v>321</v>
      </c>
      <c r="BN53" s="301" t="s">
        <v>321</v>
      </c>
      <c r="BO53" s="301" t="s">
        <v>321</v>
      </c>
      <c r="BP53" s="301" t="s">
        <v>321</v>
      </c>
      <c r="BQ53" s="301"/>
      <c r="BR53" s="301"/>
      <c r="BS53" s="301" t="s">
        <v>321</v>
      </c>
      <c r="BT53" s="301" t="s">
        <v>321</v>
      </c>
    </row>
  </sheetData>
  <printOptions horizontalCentered="1"/>
  <pageMargins left="0" right="0" top="1" bottom="0" header="0.5" footer="0.5"/>
  <pageSetup firstPageNumber="9" pageOrder="overThenDown" orientation="landscape" useFirstPageNumber="1" horizontalDpi="4294967292" verticalDpi="4294967292" r:id="rId1"/>
  <headerFooter alignWithMargins="0">
    <oddFooter>&amp;R&amp;"MS Serif,Bold"&amp;8Page &amp;P</oddFooter>
  </headerFooter>
  <rowBreaks count="6" manualBreakCount="6">
    <brk id="247" max="65535" man="1"/>
    <brk id="282" max="65535" man="1"/>
    <brk id="319" max="65535" man="1"/>
    <brk id="348" max="65535" man="1"/>
    <brk id="373" max="65535" man="1"/>
    <brk id="390" max="65535" man="1"/>
  </rowBreaks>
  <colBreaks count="2" manualBreakCount="2">
    <brk id="22" max="1048575" man="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5"/>
  <sheetViews>
    <sheetView zoomScale="130" zoomScaleNormal="130" workbookViewId="0">
      <pane xSplit="2" ySplit="5" topLeftCell="C6" activePane="bottomRight" state="frozen"/>
      <selection activeCell="A6" sqref="A6"/>
      <selection pane="topRight" activeCell="A6" sqref="A6"/>
      <selection pane="bottomLeft" activeCell="A6" sqref="A6"/>
      <selection pane="bottomRight" activeCell="A2" sqref="A2"/>
    </sheetView>
  </sheetViews>
  <sheetFormatPr defaultColWidth="13" defaultRowHeight="7.9" outlineLevelRow="2"/>
  <cols>
    <col min="1" max="1" width="2" style="141" customWidth="1"/>
    <col min="2" max="2" width="37.44140625" style="141" customWidth="1"/>
    <col min="3" max="3" width="20.44140625" style="191" customWidth="1"/>
    <col min="4" max="4" width="14.5546875" style="191" customWidth="1"/>
    <col min="5" max="5" width="13" style="191" customWidth="1"/>
    <col min="6" max="17" width="13" style="88" customWidth="1"/>
    <col min="18" max="18" width="13" style="101" customWidth="1"/>
    <col min="19" max="30" width="13" style="88" customWidth="1"/>
    <col min="31" max="34" width="13" style="101" customWidth="1"/>
    <col min="35" max="35" width="2.5546875" style="88" customWidth="1"/>
    <col min="36" max="36" width="13" style="88"/>
    <col min="37" max="37" width="28" style="88" customWidth="1"/>
    <col min="38" max="16384" width="13" style="88"/>
  </cols>
  <sheetData>
    <row r="1" spans="1:37" s="65" customFormat="1" ht="10.5" customHeight="1">
      <c r="A1" s="58" t="str">
        <f>Assumptions!I8</f>
        <v>PEP STRAW</v>
      </c>
      <c r="B1" s="59"/>
      <c r="C1" s="60" t="s">
        <v>103</v>
      </c>
      <c r="D1" s="60"/>
      <c r="E1" s="61" t="s">
        <v>104</v>
      </c>
      <c r="F1" s="62">
        <f>Assumptions!$I$9</f>
        <v>43466</v>
      </c>
      <c r="G1" s="62">
        <f>F1+31</f>
        <v>43497</v>
      </c>
      <c r="H1" s="62">
        <f t="shared" ref="H1:Q1" si="0">G1+31</f>
        <v>43528</v>
      </c>
      <c r="I1" s="62">
        <f t="shared" si="0"/>
        <v>43559</v>
      </c>
      <c r="J1" s="62">
        <f t="shared" si="0"/>
        <v>43590</v>
      </c>
      <c r="K1" s="62">
        <f t="shared" si="0"/>
        <v>43621</v>
      </c>
      <c r="L1" s="62">
        <f t="shared" si="0"/>
        <v>43652</v>
      </c>
      <c r="M1" s="62">
        <f t="shared" si="0"/>
        <v>43683</v>
      </c>
      <c r="N1" s="62">
        <f t="shared" si="0"/>
        <v>43714</v>
      </c>
      <c r="O1" s="62">
        <f t="shared" si="0"/>
        <v>43745</v>
      </c>
      <c r="P1" s="62">
        <f t="shared" si="0"/>
        <v>43776</v>
      </c>
      <c r="Q1" s="62">
        <f t="shared" si="0"/>
        <v>43807</v>
      </c>
      <c r="R1" s="63">
        <f>IF(MONTH(Q1)=12,Q1,IF(MONTH(Q1)&gt;3,"FY "&amp;YEAR(Q1),"FY "&amp;YEAR(F1)))</f>
        <v>43807</v>
      </c>
      <c r="S1" s="62">
        <f>Q1+31</f>
        <v>43838</v>
      </c>
      <c r="T1" s="62">
        <f t="shared" ref="T1:AD1" si="1">S1+31</f>
        <v>43869</v>
      </c>
      <c r="U1" s="62">
        <f t="shared" si="1"/>
        <v>43900</v>
      </c>
      <c r="V1" s="62">
        <f t="shared" si="1"/>
        <v>43931</v>
      </c>
      <c r="W1" s="62">
        <f t="shared" si="1"/>
        <v>43962</v>
      </c>
      <c r="X1" s="62">
        <f t="shared" si="1"/>
        <v>43993</v>
      </c>
      <c r="Y1" s="62">
        <f t="shared" si="1"/>
        <v>44024</v>
      </c>
      <c r="Z1" s="62">
        <f t="shared" si="1"/>
        <v>44055</v>
      </c>
      <c r="AA1" s="62">
        <f t="shared" si="1"/>
        <v>44086</v>
      </c>
      <c r="AB1" s="62">
        <f>AA1+31</f>
        <v>44117</v>
      </c>
      <c r="AC1" s="62">
        <f t="shared" si="1"/>
        <v>44148</v>
      </c>
      <c r="AD1" s="62">
        <f t="shared" si="1"/>
        <v>44179</v>
      </c>
      <c r="AE1" s="63">
        <f>IF(MONTH(AD1)=12,AD1,IF(MONTH(AD1)&gt;3,"FY "&amp;YEAR(AD1),"FY "&amp;YEAR(S1)))</f>
        <v>44179</v>
      </c>
      <c r="AF1" s="64">
        <f>IF(MONTH(AD1)=12,AD1+365,IF(MONTH(AD1)&gt;3,"FY "&amp;YEAR(AD1+365),"FY "&amp;YEAR(S1+365)))</f>
        <v>44544</v>
      </c>
      <c r="AG1" s="64">
        <f>IF(MONTH(AD1)=12,AD1+730,IF(MONTH(AD1)&gt;3,"FY "&amp;YEAR(AD1+730),"FY "&amp;YEAR(S1+730)))</f>
        <v>44909</v>
      </c>
      <c r="AH1" s="64">
        <f>IF(MONTH(AD1)=12,AD1+1095,IF(MONTH(AD1)&gt;3,"FY "&amp;YEAR(AD1+1095),"FY "&amp;YEAR(S1+1095)))</f>
        <v>45274</v>
      </c>
      <c r="AI1" s="304" t="s">
        <v>321</v>
      </c>
    </row>
    <row r="2" spans="1:37" s="65" customFormat="1" ht="10.5" customHeight="1" outlineLevel="2">
      <c r="A2" s="58"/>
      <c r="B2" s="300"/>
      <c r="C2" s="60"/>
      <c r="D2" s="60"/>
      <c r="E2" s="61"/>
      <c r="F2" s="300"/>
      <c r="G2" s="299"/>
      <c r="H2" s="299"/>
      <c r="I2" s="299"/>
      <c r="J2" s="299"/>
      <c r="K2" s="299"/>
      <c r="L2" s="299"/>
      <c r="M2" s="299"/>
      <c r="N2" s="299"/>
      <c r="O2" s="299"/>
      <c r="P2" s="299"/>
      <c r="Q2" s="299"/>
      <c r="R2" s="63"/>
      <c r="S2" s="299"/>
      <c r="T2" s="299"/>
      <c r="U2" s="299"/>
      <c r="V2" s="299"/>
      <c r="W2" s="299"/>
      <c r="X2" s="299"/>
      <c r="Y2" s="299"/>
      <c r="Z2" s="299"/>
      <c r="AA2" s="299"/>
      <c r="AB2" s="299"/>
      <c r="AC2" s="299"/>
      <c r="AD2" s="299"/>
      <c r="AE2" s="63"/>
      <c r="AF2" s="64"/>
      <c r="AG2" s="64"/>
      <c r="AH2" s="64"/>
      <c r="AI2" s="304" t="s">
        <v>321</v>
      </c>
    </row>
    <row r="3" spans="1:37" s="65" customFormat="1" outlineLevel="1">
      <c r="A3" s="59"/>
      <c r="B3" s="66" t="s">
        <v>105</v>
      </c>
      <c r="C3" s="60" t="s">
        <v>106</v>
      </c>
      <c r="D3" s="60"/>
      <c r="E3" s="61" t="s">
        <v>107</v>
      </c>
      <c r="F3" s="401">
        <f t="shared" ref="F3:AH3" ca="1" si="2">F80-F177</f>
        <v>0</v>
      </c>
      <c r="G3" s="401">
        <f t="shared" ca="1" si="2"/>
        <v>0</v>
      </c>
      <c r="H3" s="401">
        <f t="shared" ca="1" si="2"/>
        <v>0</v>
      </c>
      <c r="I3" s="401">
        <f t="shared" ca="1" si="2"/>
        <v>0</v>
      </c>
      <c r="J3" s="401">
        <f t="shared" ca="1" si="2"/>
        <v>0</v>
      </c>
      <c r="K3" s="401">
        <f t="shared" ca="1" si="2"/>
        <v>0</v>
      </c>
      <c r="L3" s="401">
        <f t="shared" ca="1" si="2"/>
        <v>0</v>
      </c>
      <c r="M3" s="401">
        <f t="shared" ca="1" si="2"/>
        <v>0</v>
      </c>
      <c r="N3" s="401">
        <f t="shared" ca="1" si="2"/>
        <v>0</v>
      </c>
      <c r="O3" s="401">
        <f t="shared" ca="1" si="2"/>
        <v>0</v>
      </c>
      <c r="P3" s="401">
        <f t="shared" ca="1" si="2"/>
        <v>0</v>
      </c>
      <c r="Q3" s="401">
        <f t="shared" ca="1" si="2"/>
        <v>0</v>
      </c>
      <c r="R3" s="402">
        <f t="shared" ca="1" si="2"/>
        <v>0</v>
      </c>
      <c r="S3" s="401">
        <f t="shared" ca="1" si="2"/>
        <v>0</v>
      </c>
      <c r="T3" s="401">
        <f t="shared" ca="1" si="2"/>
        <v>0</v>
      </c>
      <c r="U3" s="401">
        <f t="shared" ca="1" si="2"/>
        <v>0</v>
      </c>
      <c r="V3" s="401">
        <f t="shared" ca="1" si="2"/>
        <v>0</v>
      </c>
      <c r="W3" s="401">
        <f t="shared" ca="1" si="2"/>
        <v>0</v>
      </c>
      <c r="X3" s="401">
        <f t="shared" ca="1" si="2"/>
        <v>0</v>
      </c>
      <c r="Y3" s="401">
        <f t="shared" ca="1" si="2"/>
        <v>0</v>
      </c>
      <c r="Z3" s="401">
        <f t="shared" ca="1" si="2"/>
        <v>0</v>
      </c>
      <c r="AA3" s="401">
        <f t="shared" ca="1" si="2"/>
        <v>0</v>
      </c>
      <c r="AB3" s="401">
        <f t="shared" ca="1" si="2"/>
        <v>0</v>
      </c>
      <c r="AC3" s="401">
        <f t="shared" ca="1" si="2"/>
        <v>0</v>
      </c>
      <c r="AD3" s="401">
        <f t="shared" ca="1" si="2"/>
        <v>0</v>
      </c>
      <c r="AE3" s="402">
        <f t="shared" ca="1" si="2"/>
        <v>0</v>
      </c>
      <c r="AF3" s="402">
        <f t="shared" ca="1" si="2"/>
        <v>0</v>
      </c>
      <c r="AG3" s="402">
        <f t="shared" ca="1" si="2"/>
        <v>0</v>
      </c>
      <c r="AH3" s="402">
        <f t="shared" ca="1" si="2"/>
        <v>0</v>
      </c>
      <c r="AI3" s="304" t="s">
        <v>321</v>
      </c>
    </row>
    <row r="4" spans="1:37" s="65" customFormat="1" outlineLevel="1">
      <c r="A4" s="59"/>
      <c r="B4" s="66" t="s">
        <v>108</v>
      </c>
      <c r="C4" s="60" t="s">
        <v>109</v>
      </c>
      <c r="D4" s="60"/>
      <c r="E4" s="61" t="s">
        <v>110</v>
      </c>
      <c r="F4" s="401">
        <f t="shared" ref="F4:AH4" ca="1" si="3">F45-F177</f>
        <v>0</v>
      </c>
      <c r="G4" s="401">
        <f t="shared" ca="1" si="3"/>
        <v>0</v>
      </c>
      <c r="H4" s="401">
        <f t="shared" ca="1" si="3"/>
        <v>0</v>
      </c>
      <c r="I4" s="401">
        <f t="shared" ca="1" si="3"/>
        <v>0</v>
      </c>
      <c r="J4" s="401">
        <f t="shared" ca="1" si="3"/>
        <v>0</v>
      </c>
      <c r="K4" s="401">
        <f t="shared" ca="1" si="3"/>
        <v>0</v>
      </c>
      <c r="L4" s="401">
        <f t="shared" ca="1" si="3"/>
        <v>0</v>
      </c>
      <c r="M4" s="401">
        <f t="shared" ca="1" si="3"/>
        <v>0</v>
      </c>
      <c r="N4" s="401">
        <f t="shared" ca="1" si="3"/>
        <v>0</v>
      </c>
      <c r="O4" s="401">
        <f t="shared" ca="1" si="3"/>
        <v>0</v>
      </c>
      <c r="P4" s="401">
        <f t="shared" ca="1" si="3"/>
        <v>0</v>
      </c>
      <c r="Q4" s="401">
        <f t="shared" ca="1" si="3"/>
        <v>-2.5465851649641991E-11</v>
      </c>
      <c r="R4" s="402">
        <f t="shared" ca="1" si="3"/>
        <v>-2.5465851649641991E-11</v>
      </c>
      <c r="S4" s="401">
        <f t="shared" ca="1" si="3"/>
        <v>0</v>
      </c>
      <c r="T4" s="401">
        <f t="shared" ca="1" si="3"/>
        <v>0</v>
      </c>
      <c r="U4" s="401">
        <f t="shared" ca="1" si="3"/>
        <v>0</v>
      </c>
      <c r="V4" s="401">
        <f t="shared" ca="1" si="3"/>
        <v>0</v>
      </c>
      <c r="W4" s="401">
        <f t="shared" ca="1" si="3"/>
        <v>0</v>
      </c>
      <c r="X4" s="401">
        <f t="shared" ca="1" si="3"/>
        <v>0</v>
      </c>
      <c r="Y4" s="401">
        <f t="shared" ca="1" si="3"/>
        <v>0</v>
      </c>
      <c r="Z4" s="401">
        <f t="shared" ca="1" si="3"/>
        <v>0</v>
      </c>
      <c r="AA4" s="401">
        <f t="shared" ca="1" si="3"/>
        <v>0</v>
      </c>
      <c r="AB4" s="401">
        <f t="shared" ca="1" si="3"/>
        <v>0</v>
      </c>
      <c r="AC4" s="401">
        <f t="shared" ca="1" si="3"/>
        <v>0</v>
      </c>
      <c r="AD4" s="401">
        <f t="shared" ca="1" si="3"/>
        <v>0</v>
      </c>
      <c r="AE4" s="402">
        <f t="shared" ca="1" si="3"/>
        <v>0</v>
      </c>
      <c r="AF4" s="402">
        <f t="shared" ca="1" si="3"/>
        <v>0</v>
      </c>
      <c r="AG4" s="402">
        <f t="shared" ca="1" si="3"/>
        <v>0</v>
      </c>
      <c r="AH4" s="402">
        <f t="shared" ca="1" si="3"/>
        <v>0</v>
      </c>
      <c r="AI4" s="304" t="s">
        <v>321</v>
      </c>
      <c r="AK4" s="371">
        <f ca="1">AH4</f>
        <v>0</v>
      </c>
    </row>
    <row r="5" spans="1:37" s="65" customFormat="1" ht="8.25" outlineLevel="1" thickBot="1">
      <c r="A5" s="69"/>
      <c r="B5" s="70" t="s">
        <v>111</v>
      </c>
      <c r="C5" s="71" t="s">
        <v>112</v>
      </c>
      <c r="D5" s="71"/>
      <c r="E5" s="72" t="s">
        <v>113</v>
      </c>
      <c r="F5" s="401">
        <f t="shared" ref="F5:O5" ca="1" si="4">F223-F197</f>
        <v>0</v>
      </c>
      <c r="G5" s="401">
        <f t="shared" ca="1" si="4"/>
        <v>0</v>
      </c>
      <c r="H5" s="401">
        <f t="shared" ca="1" si="4"/>
        <v>0</v>
      </c>
      <c r="I5" s="401">
        <f t="shared" ca="1" si="4"/>
        <v>0</v>
      </c>
      <c r="J5" s="401">
        <f t="shared" ca="1" si="4"/>
        <v>0</v>
      </c>
      <c r="K5" s="401">
        <f t="shared" ca="1" si="4"/>
        <v>0</v>
      </c>
      <c r="L5" s="401">
        <f t="shared" ca="1" si="4"/>
        <v>0</v>
      </c>
      <c r="M5" s="401">
        <f t="shared" ca="1" si="4"/>
        <v>0</v>
      </c>
      <c r="N5" s="401">
        <f t="shared" ca="1" si="4"/>
        <v>0</v>
      </c>
      <c r="O5" s="401">
        <f t="shared" ca="1" si="4"/>
        <v>0</v>
      </c>
      <c r="P5" s="401">
        <f t="shared" ref="P5:Y5" ca="1" si="5">P223-P197</f>
        <v>0</v>
      </c>
      <c r="Q5" s="401">
        <f t="shared" ca="1" si="5"/>
        <v>0</v>
      </c>
      <c r="R5" s="402">
        <f t="shared" ca="1" si="5"/>
        <v>0</v>
      </c>
      <c r="S5" s="401">
        <f t="shared" ca="1" si="5"/>
        <v>0</v>
      </c>
      <c r="T5" s="401">
        <f t="shared" ca="1" si="5"/>
        <v>0</v>
      </c>
      <c r="U5" s="401">
        <f t="shared" ca="1" si="5"/>
        <v>0</v>
      </c>
      <c r="V5" s="401">
        <f t="shared" ca="1" si="5"/>
        <v>0</v>
      </c>
      <c r="W5" s="401">
        <f t="shared" ca="1" si="5"/>
        <v>0</v>
      </c>
      <c r="X5" s="401">
        <f t="shared" ca="1" si="5"/>
        <v>0</v>
      </c>
      <c r="Y5" s="401">
        <f t="shared" ca="1" si="5"/>
        <v>0</v>
      </c>
      <c r="Z5" s="401">
        <f t="shared" ref="Z5:AE5" ca="1" si="6">Z223-Z197</f>
        <v>0</v>
      </c>
      <c r="AA5" s="401">
        <f t="shared" ca="1" si="6"/>
        <v>0</v>
      </c>
      <c r="AB5" s="401">
        <f t="shared" ca="1" si="6"/>
        <v>0</v>
      </c>
      <c r="AC5" s="401">
        <f t="shared" ca="1" si="6"/>
        <v>0</v>
      </c>
      <c r="AD5" s="401">
        <f t="shared" ca="1" si="6"/>
        <v>0</v>
      </c>
      <c r="AE5" s="402">
        <f t="shared" ca="1" si="6"/>
        <v>0</v>
      </c>
      <c r="AF5" s="402">
        <f ca="1">AF223-AF197</f>
        <v>0</v>
      </c>
      <c r="AG5" s="402">
        <f ca="1">AG223-AG197</f>
        <v>0</v>
      </c>
      <c r="AH5" s="402">
        <f ca="1">AH223-AH197</f>
        <v>0</v>
      </c>
      <c r="AI5" s="304" t="s">
        <v>321</v>
      </c>
    </row>
    <row r="6" spans="1:37" s="65" customFormat="1" ht="8.25" thickTop="1">
      <c r="A6" s="305" t="s">
        <v>114</v>
      </c>
      <c r="B6" s="306"/>
      <c r="C6" s="307"/>
      <c r="D6" s="307"/>
      <c r="E6" s="307"/>
      <c r="F6" s="308"/>
      <c r="G6" s="308"/>
      <c r="H6" s="308"/>
      <c r="I6" s="308"/>
      <c r="J6" s="308"/>
      <c r="K6" s="308"/>
      <c r="L6" s="308"/>
      <c r="M6" s="308"/>
      <c r="N6" s="308"/>
      <c r="O6" s="308"/>
      <c r="P6" s="308"/>
      <c r="Q6" s="308"/>
      <c r="R6" s="309"/>
      <c r="S6" s="308"/>
      <c r="T6" s="308"/>
      <c r="U6" s="308"/>
      <c r="V6" s="308"/>
      <c r="W6" s="308"/>
      <c r="X6" s="308"/>
      <c r="Y6" s="308"/>
      <c r="Z6" s="308"/>
      <c r="AA6" s="308"/>
      <c r="AB6" s="308"/>
      <c r="AC6" s="308"/>
      <c r="AD6" s="308"/>
      <c r="AE6" s="309"/>
      <c r="AF6" s="309"/>
      <c r="AG6" s="309"/>
      <c r="AH6" s="309"/>
      <c r="AI6" s="304" t="s">
        <v>321</v>
      </c>
    </row>
    <row r="7" spans="1:37" s="65" customFormat="1" ht="8.25" thickBot="1">
      <c r="A7" s="78" t="str">
        <f>$A$1</f>
        <v>PEP STRAW</v>
      </c>
      <c r="B7" s="79"/>
      <c r="C7" s="80"/>
      <c r="D7" s="80"/>
      <c r="E7" s="80"/>
      <c r="F7" s="81"/>
      <c r="G7" s="81"/>
      <c r="H7" s="81"/>
      <c r="I7" s="81"/>
      <c r="J7" s="81"/>
      <c r="K7" s="81"/>
      <c r="L7" s="81"/>
      <c r="M7" s="81"/>
      <c r="N7" s="81"/>
      <c r="O7" s="81"/>
      <c r="P7" s="81"/>
      <c r="Q7" s="81"/>
      <c r="R7" s="82"/>
      <c r="S7" s="81"/>
      <c r="T7" s="81"/>
      <c r="U7" s="81"/>
      <c r="V7" s="81"/>
      <c r="W7" s="81"/>
      <c r="X7" s="81"/>
      <c r="Y7" s="81"/>
      <c r="Z7" s="81"/>
      <c r="AA7" s="81"/>
      <c r="AB7" s="81"/>
      <c r="AC7" s="81"/>
      <c r="AD7" s="81"/>
      <c r="AE7" s="82"/>
      <c r="AF7" s="82"/>
      <c r="AG7" s="82"/>
      <c r="AH7" s="82"/>
      <c r="AI7" s="304" t="s">
        <v>321</v>
      </c>
    </row>
    <row r="8" spans="1:37" ht="8.25" thickTop="1">
      <c r="A8" s="83"/>
      <c r="B8" s="84">
        <f ca="1">NOW()</f>
        <v>44371.35163020833</v>
      </c>
      <c r="C8" s="85"/>
      <c r="D8" s="85"/>
      <c r="E8" s="85"/>
      <c r="F8" s="86" t="s">
        <v>115</v>
      </c>
      <c r="G8" s="86" t="s">
        <v>116</v>
      </c>
      <c r="H8" s="86" t="s">
        <v>117</v>
      </c>
      <c r="I8" s="86" t="s">
        <v>118</v>
      </c>
      <c r="J8" s="86" t="s">
        <v>119</v>
      </c>
      <c r="K8" s="86" t="s">
        <v>120</v>
      </c>
      <c r="L8" s="86" t="s">
        <v>121</v>
      </c>
      <c r="M8" s="86" t="s">
        <v>122</v>
      </c>
      <c r="N8" s="86" t="s">
        <v>123</v>
      </c>
      <c r="O8" s="86" t="s">
        <v>124</v>
      </c>
      <c r="P8" s="86" t="s">
        <v>125</v>
      </c>
      <c r="Q8" s="86" t="s">
        <v>126</v>
      </c>
      <c r="R8" s="87" t="s">
        <v>127</v>
      </c>
      <c r="S8" s="86" t="s">
        <v>128</v>
      </c>
      <c r="T8" s="86" t="s">
        <v>129</v>
      </c>
      <c r="U8" s="86" t="s">
        <v>130</v>
      </c>
      <c r="V8" s="86" t="s">
        <v>131</v>
      </c>
      <c r="W8" s="86" t="s">
        <v>132</v>
      </c>
      <c r="X8" s="86" t="s">
        <v>133</v>
      </c>
      <c r="Y8" s="86" t="s">
        <v>134</v>
      </c>
      <c r="Z8" s="86" t="s">
        <v>135</v>
      </c>
      <c r="AA8" s="86" t="s">
        <v>136</v>
      </c>
      <c r="AB8" s="86" t="s">
        <v>137</v>
      </c>
      <c r="AC8" s="86" t="s">
        <v>138</v>
      </c>
      <c r="AD8" s="86" t="s">
        <v>139</v>
      </c>
      <c r="AE8" s="87" t="s">
        <v>127</v>
      </c>
      <c r="AF8" s="87" t="s">
        <v>127</v>
      </c>
      <c r="AG8" s="87" t="s">
        <v>127</v>
      </c>
      <c r="AH8" s="87" t="s">
        <v>127</v>
      </c>
      <c r="AI8" s="304" t="s">
        <v>321</v>
      </c>
    </row>
    <row r="9" spans="1:37">
      <c r="A9" s="89"/>
      <c r="B9" s="90">
        <f ca="1">NOW()</f>
        <v>44371.35163020833</v>
      </c>
      <c r="C9" s="91"/>
      <c r="D9" s="91"/>
      <c r="E9" s="91"/>
      <c r="F9" s="92">
        <f t="shared" ref="F9:AH9" si="7">F$1</f>
        <v>43466</v>
      </c>
      <c r="G9" s="92">
        <f t="shared" si="7"/>
        <v>43497</v>
      </c>
      <c r="H9" s="92">
        <f t="shared" si="7"/>
        <v>43528</v>
      </c>
      <c r="I9" s="92">
        <f t="shared" si="7"/>
        <v>43559</v>
      </c>
      <c r="J9" s="92">
        <f t="shared" si="7"/>
        <v>43590</v>
      </c>
      <c r="K9" s="92">
        <f t="shared" si="7"/>
        <v>43621</v>
      </c>
      <c r="L9" s="92">
        <f t="shared" si="7"/>
        <v>43652</v>
      </c>
      <c r="M9" s="92">
        <f t="shared" si="7"/>
        <v>43683</v>
      </c>
      <c r="N9" s="92">
        <f t="shared" si="7"/>
        <v>43714</v>
      </c>
      <c r="O9" s="92">
        <f t="shared" si="7"/>
        <v>43745</v>
      </c>
      <c r="P9" s="92">
        <f t="shared" si="7"/>
        <v>43776</v>
      </c>
      <c r="Q9" s="92">
        <f t="shared" si="7"/>
        <v>43807</v>
      </c>
      <c r="R9" s="93">
        <f t="shared" si="7"/>
        <v>43807</v>
      </c>
      <c r="S9" s="92">
        <f t="shared" si="7"/>
        <v>43838</v>
      </c>
      <c r="T9" s="92">
        <f t="shared" si="7"/>
        <v>43869</v>
      </c>
      <c r="U9" s="92">
        <f t="shared" si="7"/>
        <v>43900</v>
      </c>
      <c r="V9" s="92">
        <f t="shared" si="7"/>
        <v>43931</v>
      </c>
      <c r="W9" s="92">
        <f t="shared" si="7"/>
        <v>43962</v>
      </c>
      <c r="X9" s="92">
        <f>X$1</f>
        <v>43993</v>
      </c>
      <c r="Y9" s="92">
        <f t="shared" si="7"/>
        <v>44024</v>
      </c>
      <c r="Z9" s="92">
        <f t="shared" si="7"/>
        <v>44055</v>
      </c>
      <c r="AA9" s="92">
        <f t="shared" si="7"/>
        <v>44086</v>
      </c>
      <c r="AB9" s="92">
        <f t="shared" si="7"/>
        <v>44117</v>
      </c>
      <c r="AC9" s="92">
        <f t="shared" si="7"/>
        <v>44148</v>
      </c>
      <c r="AD9" s="92">
        <f t="shared" si="7"/>
        <v>44179</v>
      </c>
      <c r="AE9" s="93">
        <f t="shared" si="7"/>
        <v>44179</v>
      </c>
      <c r="AF9" s="93">
        <f t="shared" si="7"/>
        <v>44544</v>
      </c>
      <c r="AG9" s="93">
        <f t="shared" si="7"/>
        <v>44909</v>
      </c>
      <c r="AH9" s="93">
        <f t="shared" si="7"/>
        <v>45274</v>
      </c>
      <c r="AI9" s="304" t="s">
        <v>321</v>
      </c>
    </row>
    <row r="10" spans="1:37">
      <c r="A10" s="89"/>
      <c r="B10" s="94"/>
      <c r="C10" s="95"/>
      <c r="D10" s="95"/>
      <c r="E10" s="95"/>
      <c r="F10" s="92"/>
      <c r="G10" s="92"/>
      <c r="H10" s="92"/>
      <c r="I10" s="92"/>
      <c r="J10" s="92"/>
      <c r="K10" s="92"/>
      <c r="L10" s="92"/>
      <c r="M10" s="92"/>
      <c r="N10" s="92"/>
      <c r="O10" s="92"/>
      <c r="P10" s="92"/>
      <c r="Q10" s="92"/>
      <c r="R10" s="93"/>
      <c r="S10" s="92"/>
      <c r="T10" s="92"/>
      <c r="U10" s="92"/>
      <c r="V10" s="92"/>
      <c r="W10" s="92"/>
      <c r="X10" s="92"/>
      <c r="Y10" s="92"/>
      <c r="Z10" s="92"/>
      <c r="AA10" s="92"/>
      <c r="AB10" s="92"/>
      <c r="AC10" s="92"/>
      <c r="AD10" s="92"/>
      <c r="AE10" s="93"/>
      <c r="AF10" s="93"/>
      <c r="AG10" s="93"/>
      <c r="AH10" s="93"/>
      <c r="AI10" s="304" t="s">
        <v>321</v>
      </c>
    </row>
    <row r="11" spans="1:37">
      <c r="A11" s="96" t="s">
        <v>140</v>
      </c>
      <c r="B11" s="97"/>
      <c r="C11" s="98"/>
      <c r="D11" s="98"/>
      <c r="E11" s="98"/>
      <c r="F11" s="99">
        <f>E177</f>
        <v>100000</v>
      </c>
      <c r="G11" s="99">
        <f t="shared" ref="G11:Q11" ca="1" si="8">F45</f>
        <v>92695.833333333328</v>
      </c>
      <c r="H11" s="99">
        <f t="shared" ca="1" si="8"/>
        <v>85261.666666666657</v>
      </c>
      <c r="I11" s="99">
        <f t="shared" ca="1" si="8"/>
        <v>67827.499999999985</v>
      </c>
      <c r="J11" s="99">
        <f t="shared" ca="1" si="8"/>
        <v>197860.83333333331</v>
      </c>
      <c r="K11" s="99">
        <f t="shared" ca="1" si="8"/>
        <v>188832.24666666664</v>
      </c>
      <c r="L11" s="99">
        <f t="shared" ca="1" si="8"/>
        <v>161802.06999999998</v>
      </c>
      <c r="M11" s="99">
        <f t="shared" ca="1" si="8"/>
        <v>128947.81333333331</v>
      </c>
      <c r="N11" s="99">
        <f t="shared" ca="1" si="8"/>
        <v>104516.96666666665</v>
      </c>
      <c r="O11" s="99">
        <f t="shared" ca="1" si="8"/>
        <v>79693.679999999978</v>
      </c>
      <c r="P11" s="99">
        <f t="shared" ca="1" si="8"/>
        <v>55956.31333333331</v>
      </c>
      <c r="Q11" s="99">
        <f t="shared" ca="1" si="8"/>
        <v>44278.606666666645</v>
      </c>
      <c r="R11" s="100">
        <f>F11</f>
        <v>100000</v>
      </c>
      <c r="S11" s="99">
        <f ca="1">Q45</f>
        <v>14874.859999999986</v>
      </c>
      <c r="T11" s="99">
        <f t="shared" ref="T11:AD11" ca="1" si="9">S45</f>
        <v>791225.27333333332</v>
      </c>
      <c r="U11" s="99">
        <f t="shared" ca="1" si="9"/>
        <v>718906.54999999993</v>
      </c>
      <c r="V11" s="99">
        <f t="shared" ca="1" si="9"/>
        <v>613833.74049999984</v>
      </c>
      <c r="W11" s="99">
        <f t="shared" ca="1" si="9"/>
        <v>532509.77033333317</v>
      </c>
      <c r="X11" s="99">
        <f t="shared" ca="1" si="9"/>
        <v>493726.26066666655</v>
      </c>
      <c r="Y11" s="99">
        <f t="shared" ca="1" si="9"/>
        <v>469739.45199999987</v>
      </c>
      <c r="Z11" s="99">
        <f t="shared" ca="1" si="9"/>
        <v>463212.77533333324</v>
      </c>
      <c r="AA11" s="99">
        <f t="shared" ca="1" si="9"/>
        <v>460565.90916666662</v>
      </c>
      <c r="AB11" s="99">
        <f t="shared" ca="1" si="9"/>
        <v>505141.1385</v>
      </c>
      <c r="AC11" s="99">
        <f t="shared" ca="1" si="9"/>
        <v>579517.37083333335</v>
      </c>
      <c r="AD11" s="99">
        <f t="shared" ca="1" si="9"/>
        <v>709130.76566666667</v>
      </c>
      <c r="AE11" s="100">
        <f ca="1">S11</f>
        <v>14874.859999999986</v>
      </c>
      <c r="AF11" s="101">
        <f ca="1">AE45</f>
        <v>851429.63549999997</v>
      </c>
      <c r="AG11" s="101">
        <f ca="1">AF45</f>
        <v>2317302.5754999993</v>
      </c>
      <c r="AH11" s="101">
        <f ca="1">AG45</f>
        <v>4526266.732241665</v>
      </c>
      <c r="AI11" s="304" t="s">
        <v>321</v>
      </c>
    </row>
    <row r="12" spans="1:37">
      <c r="A12" s="96"/>
      <c r="B12" s="97"/>
      <c r="C12" s="98"/>
      <c r="D12" s="98"/>
      <c r="E12" s="98"/>
      <c r="F12" s="99"/>
      <c r="G12" s="99"/>
      <c r="H12" s="99"/>
      <c r="I12" s="99"/>
      <c r="J12" s="99"/>
      <c r="K12" s="99"/>
      <c r="L12" s="99"/>
      <c r="M12" s="99"/>
      <c r="N12" s="99"/>
      <c r="O12" s="99"/>
      <c r="P12" s="99"/>
      <c r="Q12" s="99"/>
      <c r="R12" s="100"/>
      <c r="S12" s="99"/>
      <c r="T12" s="99"/>
      <c r="U12" s="99"/>
      <c r="V12" s="99"/>
      <c r="W12" s="99"/>
      <c r="X12" s="99"/>
      <c r="Y12" s="99"/>
      <c r="Z12" s="99"/>
      <c r="AA12" s="99"/>
      <c r="AB12" s="99"/>
      <c r="AC12" s="99"/>
      <c r="AD12" s="99"/>
      <c r="AE12" s="100"/>
      <c r="AI12" s="304" t="s">
        <v>321</v>
      </c>
    </row>
    <row r="13" spans="1:37">
      <c r="A13" s="96" t="s">
        <v>141</v>
      </c>
      <c r="B13" s="97"/>
      <c r="C13" s="98"/>
      <c r="D13" s="98"/>
      <c r="E13" s="98"/>
      <c r="F13" s="99"/>
      <c r="G13" s="99"/>
      <c r="H13" s="99"/>
      <c r="I13" s="99"/>
      <c r="J13" s="99"/>
      <c r="K13" s="99"/>
      <c r="L13" s="99"/>
      <c r="M13" s="99"/>
      <c r="N13" s="99"/>
      <c r="O13" s="99"/>
      <c r="P13" s="99"/>
      <c r="Q13" s="99"/>
      <c r="R13" s="100"/>
      <c r="S13" s="99"/>
      <c r="T13" s="99"/>
      <c r="U13" s="99"/>
      <c r="V13" s="99"/>
      <c r="W13" s="99"/>
      <c r="X13" s="99"/>
      <c r="Y13" s="99"/>
      <c r="Z13" s="99"/>
      <c r="AA13" s="99"/>
      <c r="AB13" s="99"/>
      <c r="AC13" s="99"/>
      <c r="AD13" s="99"/>
      <c r="AE13" s="100"/>
      <c r="AI13" s="304" t="s">
        <v>321</v>
      </c>
    </row>
    <row r="14" spans="1:37">
      <c r="A14" s="96"/>
      <c r="B14" s="97" t="s">
        <v>142</v>
      </c>
      <c r="C14" s="98"/>
      <c r="D14" s="98"/>
      <c r="E14" s="98"/>
      <c r="F14" s="99">
        <f t="shared" ref="F14:Q14" ca="1" si="10">F92-(F180-E180)-F141</f>
        <v>0</v>
      </c>
      <c r="G14" s="99">
        <f t="shared" ca="1" si="10"/>
        <v>0</v>
      </c>
      <c r="H14" s="99">
        <f t="shared" ca="1" si="10"/>
        <v>0</v>
      </c>
      <c r="I14" s="99">
        <f t="shared" ca="1" si="10"/>
        <v>2572.5</v>
      </c>
      <c r="J14" s="99">
        <f t="shared" ca="1" si="10"/>
        <v>6431.25</v>
      </c>
      <c r="K14" s="99">
        <f t="shared" ca="1" si="10"/>
        <v>9003.75</v>
      </c>
      <c r="L14" s="99">
        <f t="shared" ca="1" si="10"/>
        <v>11576.25</v>
      </c>
      <c r="M14" s="99">
        <f t="shared" ca="1" si="10"/>
        <v>27011.25</v>
      </c>
      <c r="N14" s="99">
        <f t="shared" ca="1" si="10"/>
        <v>42446.25</v>
      </c>
      <c r="O14" s="99">
        <f t="shared" ca="1" si="10"/>
        <v>45018.75</v>
      </c>
      <c r="P14" s="99">
        <f t="shared" ca="1" si="10"/>
        <v>69457.5</v>
      </c>
      <c r="Q14" s="99">
        <f t="shared" ca="1" si="10"/>
        <v>97755</v>
      </c>
      <c r="R14" s="100">
        <f ca="1">SUM(F14:Q14)</f>
        <v>311272.5</v>
      </c>
      <c r="S14" s="99">
        <f ca="1">S92-(S180-Q180)-S141</f>
        <v>112161</v>
      </c>
      <c r="T14" s="99">
        <f t="shared" ref="T14:AD14" ca="1" si="11">T92-(T180-S180)-T141</f>
        <v>132349.98000000001</v>
      </c>
      <c r="U14" s="99">
        <f t="shared" ca="1" si="11"/>
        <v>156172.87349999999</v>
      </c>
      <c r="V14" s="99">
        <f t="shared" ca="1" si="11"/>
        <v>184284.12450000001</v>
      </c>
      <c r="W14" s="99">
        <f t="shared" ca="1" si="11"/>
        <v>217455.48300000001</v>
      </c>
      <c r="X14" s="99">
        <f t="shared" ca="1" si="11"/>
        <v>256597.614</v>
      </c>
      <c r="Y14" s="99">
        <f t="shared" ca="1" si="11"/>
        <v>302785.30800000002</v>
      </c>
      <c r="Z14" s="99">
        <f t="shared" ca="1" si="11"/>
        <v>357286.80750000005</v>
      </c>
      <c r="AA14" s="99">
        <f t="shared" ca="1" si="11"/>
        <v>421598.79300000001</v>
      </c>
      <c r="AB14" s="99">
        <f t="shared" ca="1" si="11"/>
        <v>497486.51399999997</v>
      </c>
      <c r="AC14" s="99">
        <f t="shared" ca="1" si="11"/>
        <v>587033.69550000003</v>
      </c>
      <c r="AD14" s="99">
        <f t="shared" ca="1" si="11"/>
        <v>692699.64750000008</v>
      </c>
      <c r="AE14" s="100">
        <f ca="1">SUM(S14:AD14)</f>
        <v>3917911.8404999999</v>
      </c>
      <c r="AF14" s="100">
        <f ca="1">AF92-(AF180-AE180)-AF141</f>
        <v>10318430.49825</v>
      </c>
      <c r="AG14" s="100">
        <f>AG92-(AG180-AF180)-AG141</f>
        <v>14851868.143875001</v>
      </c>
      <c r="AH14" s="100">
        <f>AH92-(AH180-AG180)-AH141</f>
        <v>19776524.643750001</v>
      </c>
      <c r="AI14" s="304" t="s">
        <v>321</v>
      </c>
    </row>
    <row r="15" spans="1:37">
      <c r="A15" s="96"/>
      <c r="B15" s="97" t="s">
        <v>143</v>
      </c>
      <c r="C15" s="98"/>
      <c r="D15" s="98"/>
      <c r="E15" s="98"/>
      <c r="F15" s="99">
        <f>SUM(F218:F219)-SUM(E218:E219)</f>
        <v>0</v>
      </c>
      <c r="G15" s="99">
        <f t="shared" ref="G15:V15" si="12">SUM(G218:G219)-SUM(F218:F219)</f>
        <v>0</v>
      </c>
      <c r="H15" s="99">
        <f t="shared" si="12"/>
        <v>0</v>
      </c>
      <c r="I15" s="99">
        <f t="shared" si="12"/>
        <v>150000</v>
      </c>
      <c r="J15" s="99">
        <f t="shared" si="12"/>
        <v>0</v>
      </c>
      <c r="K15" s="99">
        <f t="shared" si="12"/>
        <v>0</v>
      </c>
      <c r="L15" s="99">
        <f t="shared" si="12"/>
        <v>0</v>
      </c>
      <c r="M15" s="99">
        <f t="shared" si="12"/>
        <v>0</v>
      </c>
      <c r="N15" s="99">
        <f t="shared" si="12"/>
        <v>0</v>
      </c>
      <c r="O15" s="99">
        <f t="shared" si="12"/>
        <v>0</v>
      </c>
      <c r="P15" s="99">
        <f t="shared" si="12"/>
        <v>0</v>
      </c>
      <c r="Q15" s="99">
        <f t="shared" si="12"/>
        <v>0</v>
      </c>
      <c r="R15" s="100">
        <f>SUM(F15:Q15)</f>
        <v>150000</v>
      </c>
      <c r="S15" s="99">
        <f t="shared" si="12"/>
        <v>800000</v>
      </c>
      <c r="T15" s="99">
        <f t="shared" si="12"/>
        <v>0</v>
      </c>
      <c r="U15" s="99">
        <f t="shared" si="12"/>
        <v>0</v>
      </c>
      <c r="V15" s="99">
        <f t="shared" si="12"/>
        <v>0</v>
      </c>
      <c r="W15" s="99">
        <f t="shared" ref="W15:AH15" si="13">SUM(W218:W219)-SUM(V218:V219)</f>
        <v>0</v>
      </c>
      <c r="X15" s="99">
        <f t="shared" si="13"/>
        <v>0</v>
      </c>
      <c r="Y15" s="99">
        <f t="shared" si="13"/>
        <v>0</v>
      </c>
      <c r="Z15" s="99">
        <f t="shared" si="13"/>
        <v>0</v>
      </c>
      <c r="AA15" s="99">
        <f t="shared" si="13"/>
        <v>0</v>
      </c>
      <c r="AB15" s="99">
        <f t="shared" si="13"/>
        <v>0</v>
      </c>
      <c r="AC15" s="99">
        <f t="shared" si="13"/>
        <v>0</v>
      </c>
      <c r="AD15" s="99">
        <f t="shared" si="13"/>
        <v>0</v>
      </c>
      <c r="AE15" s="100">
        <f>SUM(S15:AD15)</f>
        <v>800000</v>
      </c>
      <c r="AF15" s="100">
        <f t="shared" si="13"/>
        <v>0</v>
      </c>
      <c r="AG15" s="100">
        <f t="shared" si="13"/>
        <v>0</v>
      </c>
      <c r="AH15" s="100">
        <f t="shared" si="13"/>
        <v>0</v>
      </c>
      <c r="AI15" s="304" t="s">
        <v>321</v>
      </c>
    </row>
    <row r="16" spans="1:37">
      <c r="A16" s="96"/>
      <c r="B16" s="97" t="s">
        <v>144</v>
      </c>
      <c r="C16" s="98"/>
      <c r="D16" s="98"/>
      <c r="E16" s="98"/>
      <c r="F16" s="99">
        <f t="shared" ref="F16:Q16" ca="1" si="14">SUM(F62:F64)</f>
        <v>0</v>
      </c>
      <c r="G16" s="99">
        <f t="shared" ca="1" si="14"/>
        <v>0</v>
      </c>
      <c r="H16" s="99">
        <f t="shared" ca="1" si="14"/>
        <v>0</v>
      </c>
      <c r="I16" s="99">
        <f t="shared" ca="1" si="14"/>
        <v>0</v>
      </c>
      <c r="J16" s="99">
        <f t="shared" ca="1" si="14"/>
        <v>0</v>
      </c>
      <c r="K16" s="99">
        <f t="shared" ca="1" si="14"/>
        <v>0</v>
      </c>
      <c r="L16" s="99">
        <f t="shared" ca="1" si="14"/>
        <v>0</v>
      </c>
      <c r="M16" s="99">
        <f t="shared" ca="1" si="14"/>
        <v>0</v>
      </c>
      <c r="N16" s="99">
        <f t="shared" ca="1" si="14"/>
        <v>0</v>
      </c>
      <c r="O16" s="99">
        <f t="shared" ca="1" si="14"/>
        <v>0</v>
      </c>
      <c r="P16" s="99">
        <f t="shared" ca="1" si="14"/>
        <v>0</v>
      </c>
      <c r="Q16" s="99">
        <f t="shared" ca="1" si="14"/>
        <v>0</v>
      </c>
      <c r="R16" s="100">
        <f ca="1">SUM(F16:Q16)</f>
        <v>0</v>
      </c>
      <c r="S16" s="99">
        <f t="shared" ref="S16:AD16" ca="1" si="15">SUM(S62:S64)</f>
        <v>0</v>
      </c>
      <c r="T16" s="99">
        <f t="shared" ca="1" si="15"/>
        <v>0</v>
      </c>
      <c r="U16" s="99">
        <f t="shared" ca="1" si="15"/>
        <v>0</v>
      </c>
      <c r="V16" s="99">
        <f t="shared" ca="1" si="15"/>
        <v>0</v>
      </c>
      <c r="W16" s="99">
        <f t="shared" ca="1" si="15"/>
        <v>0</v>
      </c>
      <c r="X16" s="99">
        <f t="shared" ca="1" si="15"/>
        <v>0</v>
      </c>
      <c r="Y16" s="99">
        <f t="shared" ca="1" si="15"/>
        <v>0</v>
      </c>
      <c r="Z16" s="99">
        <f t="shared" ca="1" si="15"/>
        <v>0</v>
      </c>
      <c r="AA16" s="99">
        <f t="shared" ca="1" si="15"/>
        <v>0</v>
      </c>
      <c r="AB16" s="99">
        <f t="shared" ca="1" si="15"/>
        <v>0</v>
      </c>
      <c r="AC16" s="99">
        <f t="shared" ca="1" si="15"/>
        <v>0</v>
      </c>
      <c r="AD16" s="99">
        <f t="shared" ca="1" si="15"/>
        <v>0</v>
      </c>
      <c r="AE16" s="100">
        <f ca="1">SUM(S16:AD16)</f>
        <v>0</v>
      </c>
      <c r="AF16" s="100">
        <f ca="1">SUM(AF62:AF64)</f>
        <v>0</v>
      </c>
      <c r="AG16" s="100">
        <f ca="1">SUM(AG62:AG64)</f>
        <v>0</v>
      </c>
      <c r="AH16" s="100">
        <f ca="1">SUM(AH62:AH64)</f>
        <v>0</v>
      </c>
      <c r="AI16" s="304" t="s">
        <v>321</v>
      </c>
    </row>
    <row r="17" spans="1:35">
      <c r="A17" s="96"/>
      <c r="B17" s="97" t="s">
        <v>297</v>
      </c>
      <c r="C17" s="98"/>
      <c r="D17" s="98"/>
      <c r="E17" s="98"/>
      <c r="F17" s="99">
        <f>F156+F157</f>
        <v>0</v>
      </c>
      <c r="G17" s="99">
        <f t="shared" ref="G17:Q17" si="16">G156+G157</f>
        <v>0</v>
      </c>
      <c r="H17" s="99">
        <f t="shared" si="16"/>
        <v>0</v>
      </c>
      <c r="I17" s="99">
        <f t="shared" si="16"/>
        <v>0</v>
      </c>
      <c r="J17" s="99">
        <f t="shared" si="16"/>
        <v>0</v>
      </c>
      <c r="K17" s="99">
        <f>K156+K157</f>
        <v>0</v>
      </c>
      <c r="L17" s="99">
        <f t="shared" si="16"/>
        <v>0</v>
      </c>
      <c r="M17" s="99">
        <f t="shared" si="16"/>
        <v>0</v>
      </c>
      <c r="N17" s="99">
        <f t="shared" si="16"/>
        <v>0</v>
      </c>
      <c r="O17" s="99">
        <f t="shared" si="16"/>
        <v>0</v>
      </c>
      <c r="P17" s="99">
        <f t="shared" si="16"/>
        <v>0</v>
      </c>
      <c r="Q17" s="99">
        <f t="shared" si="16"/>
        <v>0</v>
      </c>
      <c r="R17" s="100">
        <f>SUM(F17:Q17)</f>
        <v>0</v>
      </c>
      <c r="S17" s="99">
        <f>S156+S157</f>
        <v>0</v>
      </c>
      <c r="T17" s="99">
        <f t="shared" ref="T17:AD17" si="17">T156+T157</f>
        <v>0</v>
      </c>
      <c r="U17" s="99">
        <f t="shared" si="17"/>
        <v>0</v>
      </c>
      <c r="V17" s="99">
        <f t="shared" si="17"/>
        <v>0</v>
      </c>
      <c r="W17" s="99">
        <f t="shared" si="17"/>
        <v>0</v>
      </c>
      <c r="X17" s="99">
        <f t="shared" si="17"/>
        <v>0</v>
      </c>
      <c r="Y17" s="99">
        <f t="shared" si="17"/>
        <v>0</v>
      </c>
      <c r="Z17" s="99">
        <f t="shared" si="17"/>
        <v>0</v>
      </c>
      <c r="AA17" s="99">
        <f t="shared" si="17"/>
        <v>0</v>
      </c>
      <c r="AB17" s="99">
        <f t="shared" si="17"/>
        <v>0</v>
      </c>
      <c r="AC17" s="99">
        <f t="shared" si="17"/>
        <v>0</v>
      </c>
      <c r="AD17" s="99">
        <f t="shared" si="17"/>
        <v>0</v>
      </c>
      <c r="AE17" s="100">
        <f>SUM(S17:AD17)</f>
        <v>0</v>
      </c>
      <c r="AF17" s="100">
        <f>AF156+AF157</f>
        <v>0</v>
      </c>
      <c r="AG17" s="100">
        <f>AG156+AG157</f>
        <v>0</v>
      </c>
      <c r="AH17" s="100">
        <f>AH156+AH157</f>
        <v>0</v>
      </c>
      <c r="AI17" s="304" t="s">
        <v>321</v>
      </c>
    </row>
    <row r="18" spans="1:35">
      <c r="A18" s="83" t="s">
        <v>145</v>
      </c>
      <c r="B18" s="102"/>
      <c r="C18" s="85"/>
      <c r="D18" s="85"/>
      <c r="E18" s="85"/>
      <c r="F18" s="320">
        <f t="shared" ref="F18:Q18" ca="1" si="18">SUM(F14:F17)</f>
        <v>0</v>
      </c>
      <c r="G18" s="103">
        <f t="shared" ca="1" si="18"/>
        <v>0</v>
      </c>
      <c r="H18" s="103">
        <f t="shared" ca="1" si="18"/>
        <v>0</v>
      </c>
      <c r="I18" s="103">
        <f t="shared" ca="1" si="18"/>
        <v>152572.5</v>
      </c>
      <c r="J18" s="103">
        <f t="shared" ca="1" si="18"/>
        <v>6431.25</v>
      </c>
      <c r="K18" s="103">
        <f ca="1">SUM(K14:K17)</f>
        <v>9003.75</v>
      </c>
      <c r="L18" s="103">
        <f t="shared" ca="1" si="18"/>
        <v>11576.25</v>
      </c>
      <c r="M18" s="103">
        <f t="shared" ca="1" si="18"/>
        <v>27011.25</v>
      </c>
      <c r="N18" s="103">
        <f t="shared" ca="1" si="18"/>
        <v>42446.25</v>
      </c>
      <c r="O18" s="103">
        <f t="shared" ca="1" si="18"/>
        <v>45018.75</v>
      </c>
      <c r="P18" s="103">
        <f t="shared" ca="1" si="18"/>
        <v>69457.5</v>
      </c>
      <c r="Q18" s="103">
        <f t="shared" ca="1" si="18"/>
        <v>97755</v>
      </c>
      <c r="R18" s="104">
        <f ca="1">SUM(F18:Q18)</f>
        <v>461272.5</v>
      </c>
      <c r="S18" s="103">
        <f t="shared" ref="S18:AD18" ca="1" si="19">SUM(S14:S17)</f>
        <v>912161</v>
      </c>
      <c r="T18" s="103">
        <f t="shared" ca="1" si="19"/>
        <v>132349.98000000001</v>
      </c>
      <c r="U18" s="103">
        <f t="shared" ca="1" si="19"/>
        <v>156172.87349999999</v>
      </c>
      <c r="V18" s="103">
        <f t="shared" ca="1" si="19"/>
        <v>184284.12450000001</v>
      </c>
      <c r="W18" s="103">
        <f t="shared" ca="1" si="19"/>
        <v>217455.48300000001</v>
      </c>
      <c r="X18" s="103">
        <f t="shared" ca="1" si="19"/>
        <v>256597.614</v>
      </c>
      <c r="Y18" s="103">
        <f t="shared" ca="1" si="19"/>
        <v>302785.30800000002</v>
      </c>
      <c r="Z18" s="103">
        <f t="shared" ca="1" si="19"/>
        <v>357286.80750000005</v>
      </c>
      <c r="AA18" s="103">
        <f t="shared" ca="1" si="19"/>
        <v>421598.79300000001</v>
      </c>
      <c r="AB18" s="103">
        <f t="shared" ca="1" si="19"/>
        <v>497486.51399999997</v>
      </c>
      <c r="AC18" s="103">
        <f t="shared" ca="1" si="19"/>
        <v>587033.69550000003</v>
      </c>
      <c r="AD18" s="103">
        <f t="shared" ca="1" si="19"/>
        <v>692699.64750000008</v>
      </c>
      <c r="AE18" s="104">
        <f ca="1">SUM(S18:AD18)</f>
        <v>4717911.8404999999</v>
      </c>
      <c r="AF18" s="104">
        <f ca="1">SUM(AF14:AF17)</f>
        <v>10318430.49825</v>
      </c>
      <c r="AG18" s="104">
        <f ca="1">SUM(AG14:AG17)</f>
        <v>14851868.143875001</v>
      </c>
      <c r="AH18" s="104">
        <f ca="1">SUM(AH14:AH17)</f>
        <v>19776524.643750001</v>
      </c>
      <c r="AI18" s="304" t="s">
        <v>321</v>
      </c>
    </row>
    <row r="19" spans="1:35">
      <c r="A19" s="96"/>
      <c r="B19" s="97"/>
      <c r="C19" s="98"/>
      <c r="D19" s="98"/>
      <c r="E19" s="98"/>
      <c r="F19" s="99"/>
      <c r="G19" s="99"/>
      <c r="H19" s="99"/>
      <c r="I19" s="99"/>
      <c r="J19" s="99"/>
      <c r="K19" s="99"/>
      <c r="L19" s="99"/>
      <c r="M19" s="99"/>
      <c r="N19" s="99"/>
      <c r="O19" s="99"/>
      <c r="P19" s="99"/>
      <c r="Q19" s="99"/>
      <c r="R19" s="100"/>
      <c r="S19" s="99"/>
      <c r="T19" s="99"/>
      <c r="U19" s="99"/>
      <c r="V19" s="99"/>
      <c r="W19" s="99"/>
      <c r="X19" s="99"/>
      <c r="Y19" s="99"/>
      <c r="Z19" s="99"/>
      <c r="AA19" s="99"/>
      <c r="AB19" s="99"/>
      <c r="AC19" s="99"/>
      <c r="AD19" s="99"/>
      <c r="AE19" s="100"/>
      <c r="AF19" s="100"/>
      <c r="AG19" s="100"/>
      <c r="AH19" s="100"/>
      <c r="AI19" s="304" t="s">
        <v>321</v>
      </c>
    </row>
    <row r="20" spans="1:35">
      <c r="A20" s="96" t="s">
        <v>146</v>
      </c>
      <c r="B20" s="97"/>
      <c r="C20" s="98"/>
      <c r="D20" s="98"/>
      <c r="E20" s="98"/>
      <c r="F20" s="99"/>
      <c r="G20" s="99"/>
      <c r="H20" s="99"/>
      <c r="I20" s="99"/>
      <c r="J20" s="99"/>
      <c r="K20" s="99"/>
      <c r="L20" s="99"/>
      <c r="M20" s="99"/>
      <c r="N20" s="99"/>
      <c r="O20" s="99"/>
      <c r="P20" s="99"/>
      <c r="Q20" s="99"/>
      <c r="R20" s="100"/>
      <c r="S20" s="99"/>
      <c r="T20" s="99"/>
      <c r="U20" s="99"/>
      <c r="V20" s="99"/>
      <c r="W20" s="99"/>
      <c r="X20" s="99"/>
      <c r="Y20" s="99"/>
      <c r="Z20" s="99"/>
      <c r="AA20" s="99"/>
      <c r="AB20" s="99"/>
      <c r="AC20" s="99"/>
      <c r="AD20" s="99"/>
      <c r="AE20" s="100"/>
      <c r="AF20" s="100"/>
      <c r="AG20" s="100"/>
      <c r="AH20" s="100"/>
      <c r="AI20" s="304" t="s">
        <v>321</v>
      </c>
    </row>
    <row r="21" spans="1:35">
      <c r="A21" s="96"/>
      <c r="B21" s="97" t="s">
        <v>147</v>
      </c>
      <c r="C21" s="98"/>
      <c r="D21" s="98"/>
      <c r="E21" s="98"/>
      <c r="F21" s="318">
        <f t="shared" ref="F21:Q21" si="20">F324-F203+E203</f>
        <v>0</v>
      </c>
      <c r="G21" s="318">
        <f t="shared" si="20"/>
        <v>0</v>
      </c>
      <c r="H21" s="99">
        <f t="shared" si="20"/>
        <v>0</v>
      </c>
      <c r="I21" s="99">
        <f t="shared" si="20"/>
        <v>0</v>
      </c>
      <c r="J21" s="99">
        <f t="shared" si="20"/>
        <v>0</v>
      </c>
      <c r="K21" s="99">
        <f t="shared" si="20"/>
        <v>6875</v>
      </c>
      <c r="L21" s="99">
        <f t="shared" si="20"/>
        <v>13750</v>
      </c>
      <c r="M21" s="99">
        <f t="shared" si="20"/>
        <v>13750</v>
      </c>
      <c r="N21" s="99">
        <f t="shared" si="20"/>
        <v>13750</v>
      </c>
      <c r="O21" s="99">
        <f t="shared" si="20"/>
        <v>13750</v>
      </c>
      <c r="P21" s="99">
        <f t="shared" si="20"/>
        <v>13750</v>
      </c>
      <c r="Q21" s="99">
        <f t="shared" si="20"/>
        <v>13750</v>
      </c>
      <c r="R21" s="100">
        <f>SUM(F21:Q21)</f>
        <v>89375</v>
      </c>
      <c r="S21" s="99">
        <f>S324-S203+Q203</f>
        <v>23125</v>
      </c>
      <c r="T21" s="99">
        <f t="shared" ref="T21:AD21" si="21">T324-T203+S203</f>
        <v>34666.666666666672</v>
      </c>
      <c r="U21" s="99">
        <f t="shared" si="21"/>
        <v>39000</v>
      </c>
      <c r="V21" s="99">
        <f t="shared" si="21"/>
        <v>41166.666666666672</v>
      </c>
      <c r="W21" s="99">
        <f t="shared" si="21"/>
        <v>41166.666666666672</v>
      </c>
      <c r="X21" s="99">
        <f t="shared" si="21"/>
        <v>41166.666666666672</v>
      </c>
      <c r="Y21" s="99">
        <f t="shared" si="21"/>
        <v>41166.666666666672</v>
      </c>
      <c r="Z21" s="99">
        <f t="shared" si="21"/>
        <v>41166.666666666672</v>
      </c>
      <c r="AA21" s="99">
        <f t="shared" si="21"/>
        <v>41166.666666666672</v>
      </c>
      <c r="AB21" s="99">
        <f t="shared" si="21"/>
        <v>41166.666666666672</v>
      </c>
      <c r="AC21" s="99">
        <f t="shared" si="21"/>
        <v>41166.666666666672</v>
      </c>
      <c r="AD21" s="99">
        <f t="shared" si="21"/>
        <v>41166.666666666672</v>
      </c>
      <c r="AE21" s="100">
        <f>SUM(S21:AD21)</f>
        <v>467291.6666666668</v>
      </c>
      <c r="AF21" s="100">
        <f>AF324-AF203+AE203</f>
        <v>678782.00000000012</v>
      </c>
      <c r="AG21" s="100">
        <f>AG324-AG203+AF203</f>
        <v>1041932.3200000002</v>
      </c>
      <c r="AH21" s="100">
        <f>AH324-AH203+AG203</f>
        <v>1210016.2047999999</v>
      </c>
      <c r="AI21" s="304" t="s">
        <v>321</v>
      </c>
    </row>
    <row r="22" spans="1:35">
      <c r="A22" s="96"/>
      <c r="B22" s="97" t="s">
        <v>148</v>
      </c>
      <c r="C22" s="98"/>
      <c r="D22" s="98"/>
      <c r="E22" s="98"/>
      <c r="F22" s="318">
        <f>F99+F112+F135</f>
        <v>520.83333333333337</v>
      </c>
      <c r="G22" s="99">
        <f t="shared" ref="G22:Q22" si="22">G99+G112+G135</f>
        <v>520.83333333333337</v>
      </c>
      <c r="H22" s="99">
        <f t="shared" si="22"/>
        <v>520.83333333333337</v>
      </c>
      <c r="I22" s="99">
        <f t="shared" si="22"/>
        <v>520.83333333333337</v>
      </c>
      <c r="J22" s="99">
        <f t="shared" si="22"/>
        <v>520.83333333333337</v>
      </c>
      <c r="K22" s="99">
        <f t="shared" si="22"/>
        <v>3958.3333333333335</v>
      </c>
      <c r="L22" s="99">
        <f t="shared" si="22"/>
        <v>3958.3333333333335</v>
      </c>
      <c r="M22" s="99">
        <f t="shared" si="22"/>
        <v>3958.3333333333335</v>
      </c>
      <c r="N22" s="99">
        <f t="shared" si="22"/>
        <v>3958.3333333333335</v>
      </c>
      <c r="O22" s="99">
        <f t="shared" si="22"/>
        <v>3958.3333333333335</v>
      </c>
      <c r="P22" s="99">
        <f t="shared" si="22"/>
        <v>3958.3333333333335</v>
      </c>
      <c r="Q22" s="99">
        <f t="shared" si="22"/>
        <v>3958.3333333333335</v>
      </c>
      <c r="R22" s="100">
        <f>SUM(F22:Q22)</f>
        <v>30312.499999999996</v>
      </c>
      <c r="S22" s="99">
        <f>S99+S112+S135</f>
        <v>8645.8333333333339</v>
      </c>
      <c r="T22" s="99">
        <f t="shared" ref="T22:AD22" si="23">T99+T112+T135</f>
        <v>9729.1666666666679</v>
      </c>
      <c r="U22" s="99">
        <f t="shared" si="23"/>
        <v>10812.5</v>
      </c>
      <c r="V22" s="99">
        <f t="shared" si="23"/>
        <v>10812.5</v>
      </c>
      <c r="W22" s="99">
        <f t="shared" si="23"/>
        <v>10812.5</v>
      </c>
      <c r="X22" s="99">
        <f t="shared" si="23"/>
        <v>10812.5</v>
      </c>
      <c r="Y22" s="99">
        <f t="shared" si="23"/>
        <v>10812.5</v>
      </c>
      <c r="Z22" s="99">
        <f t="shared" si="23"/>
        <v>10812.5</v>
      </c>
      <c r="AA22" s="99">
        <f t="shared" si="23"/>
        <v>10812.5</v>
      </c>
      <c r="AB22" s="99">
        <f t="shared" si="23"/>
        <v>10812.5</v>
      </c>
      <c r="AC22" s="99">
        <f t="shared" si="23"/>
        <v>10812.5</v>
      </c>
      <c r="AD22" s="99">
        <f t="shared" si="23"/>
        <v>10812.5</v>
      </c>
      <c r="AE22" s="100">
        <f>SUM(S22:AD22)</f>
        <v>126500</v>
      </c>
      <c r="AF22" s="100">
        <f>AF99+AF112+AF135</f>
        <v>184204</v>
      </c>
      <c r="AG22" s="100">
        <f>AG99+AG112+AG135</f>
        <v>289343.04000000004</v>
      </c>
      <c r="AH22" s="100">
        <f>AH99+AH112+AH135</f>
        <v>354163.22560000001</v>
      </c>
      <c r="AI22" s="304" t="s">
        <v>321</v>
      </c>
    </row>
    <row r="23" spans="1:35">
      <c r="A23" s="96"/>
      <c r="B23" s="97" t="s">
        <v>149</v>
      </c>
      <c r="C23" s="98"/>
      <c r="D23" s="98"/>
      <c r="E23" s="98"/>
      <c r="F23" s="317">
        <f>F98+F111+F134</f>
        <v>2083.3333333333335</v>
      </c>
      <c r="G23" s="99">
        <f t="shared" ref="G23:Q23" si="24">G98+G111+G134</f>
        <v>2083.3333333333335</v>
      </c>
      <c r="H23" s="99">
        <f t="shared" si="24"/>
        <v>2083.3333333333335</v>
      </c>
      <c r="I23" s="99">
        <f t="shared" si="24"/>
        <v>2083.3333333333335</v>
      </c>
      <c r="J23" s="99">
        <f t="shared" si="24"/>
        <v>2083.3333333333335</v>
      </c>
      <c r="K23" s="99">
        <f t="shared" si="24"/>
        <v>2083.3333333333335</v>
      </c>
      <c r="L23" s="99">
        <f t="shared" si="24"/>
        <v>2083.3333333333335</v>
      </c>
      <c r="M23" s="99">
        <f t="shared" si="24"/>
        <v>2083.3333333333335</v>
      </c>
      <c r="N23" s="99">
        <f t="shared" si="24"/>
        <v>2083.3333333333335</v>
      </c>
      <c r="O23" s="99">
        <f t="shared" si="24"/>
        <v>2083.3333333333335</v>
      </c>
      <c r="P23" s="99">
        <f t="shared" si="24"/>
        <v>2083.3333333333335</v>
      </c>
      <c r="Q23" s="99">
        <f t="shared" si="24"/>
        <v>2083.3333333333335</v>
      </c>
      <c r="R23" s="100">
        <f>SUM(F23:Q23)</f>
        <v>24999.999999999996</v>
      </c>
      <c r="S23" s="99">
        <f t="shared" ref="S23:AD23" si="25">S98+S111+S134</f>
        <v>2083.3333333333335</v>
      </c>
      <c r="T23" s="99">
        <f t="shared" si="25"/>
        <v>2083.3333333333335</v>
      </c>
      <c r="U23" s="99">
        <f t="shared" si="25"/>
        <v>2083.3333333333335</v>
      </c>
      <c r="V23" s="99">
        <f t="shared" si="25"/>
        <v>2083.3333333333335</v>
      </c>
      <c r="W23" s="99">
        <f t="shared" si="25"/>
        <v>2083.3333333333335</v>
      </c>
      <c r="X23" s="99">
        <f t="shared" si="25"/>
        <v>2083.3333333333335</v>
      </c>
      <c r="Y23" s="99">
        <f t="shared" si="25"/>
        <v>2083.3333333333335</v>
      </c>
      <c r="Z23" s="99">
        <f t="shared" si="25"/>
        <v>2083.3333333333335</v>
      </c>
      <c r="AA23" s="99">
        <f t="shared" si="25"/>
        <v>2083.3333333333335</v>
      </c>
      <c r="AB23" s="99">
        <f t="shared" si="25"/>
        <v>2083.3333333333335</v>
      </c>
      <c r="AC23" s="99">
        <f t="shared" si="25"/>
        <v>2083.3333333333335</v>
      </c>
      <c r="AD23" s="99">
        <f t="shared" si="25"/>
        <v>2083.3333333333335</v>
      </c>
      <c r="AE23" s="100">
        <f>SUM(S23:AD23)</f>
        <v>24999.999999999996</v>
      </c>
      <c r="AF23" s="100">
        <f>AF98+AF111+AF134</f>
        <v>49999.999999999993</v>
      </c>
      <c r="AG23" s="100">
        <f>AG98+AG111+AG134</f>
        <v>99999.999999999985</v>
      </c>
      <c r="AH23" s="100">
        <f>AH98+AH111+AH134</f>
        <v>199999.99999999997</v>
      </c>
      <c r="AI23" s="304" t="s">
        <v>321</v>
      </c>
    </row>
    <row r="24" spans="1:35">
      <c r="A24" s="96"/>
      <c r="B24" s="97" t="s">
        <v>150</v>
      </c>
      <c r="C24" s="98"/>
      <c r="D24" s="98"/>
      <c r="E24" s="98"/>
      <c r="F24" s="317">
        <f t="shared" ref="F24:Q24" si="26">E125</f>
        <v>0</v>
      </c>
      <c r="G24" s="99">
        <f t="shared" si="26"/>
        <v>0</v>
      </c>
      <c r="H24" s="99">
        <f t="shared" si="26"/>
        <v>0</v>
      </c>
      <c r="I24" s="99">
        <f t="shared" si="26"/>
        <v>5000</v>
      </c>
      <c r="J24" s="99">
        <f t="shared" si="26"/>
        <v>5000</v>
      </c>
      <c r="K24" s="99">
        <f t="shared" si="26"/>
        <v>10000</v>
      </c>
      <c r="L24" s="99">
        <f t="shared" si="26"/>
        <v>10000</v>
      </c>
      <c r="M24" s="99">
        <f t="shared" si="26"/>
        <v>15000</v>
      </c>
      <c r="N24" s="99">
        <f t="shared" si="26"/>
        <v>15000</v>
      </c>
      <c r="O24" s="99">
        <f t="shared" si="26"/>
        <v>15000</v>
      </c>
      <c r="P24" s="99">
        <f t="shared" si="26"/>
        <v>25000</v>
      </c>
      <c r="Q24" s="99">
        <f t="shared" si="26"/>
        <v>45000</v>
      </c>
      <c r="R24" s="100">
        <f t="shared" ref="R24:R41" si="27">SUM(F24:Q24)</f>
        <v>145000</v>
      </c>
      <c r="S24" s="99">
        <f>Q125</f>
        <v>25000</v>
      </c>
      <c r="T24" s="99">
        <f t="shared" ref="T24:AD24" si="28">S125</f>
        <v>24780</v>
      </c>
      <c r="U24" s="99">
        <f t="shared" si="28"/>
        <v>29240</v>
      </c>
      <c r="V24" s="99">
        <f t="shared" si="28"/>
        <v>34504</v>
      </c>
      <c r="W24" s="99">
        <f t="shared" si="28"/>
        <v>40714</v>
      </c>
      <c r="X24" s="99">
        <f t="shared" si="28"/>
        <v>48043</v>
      </c>
      <c r="Y24" s="99">
        <f t="shared" si="28"/>
        <v>56691</v>
      </c>
      <c r="Z24" s="99">
        <f t="shared" si="28"/>
        <v>83619</v>
      </c>
      <c r="AA24" s="99">
        <f t="shared" si="28"/>
        <v>98670</v>
      </c>
      <c r="AB24" s="99">
        <f t="shared" si="28"/>
        <v>116431</v>
      </c>
      <c r="AC24" s="99">
        <f t="shared" si="28"/>
        <v>137389</v>
      </c>
      <c r="AD24" s="99">
        <f t="shared" si="28"/>
        <v>194542</v>
      </c>
      <c r="AE24" s="100">
        <f t="shared" ref="AE24:AE41" si="29">SUM(S24:AD24)</f>
        <v>889623</v>
      </c>
      <c r="AF24" s="100">
        <f>AD125+AF125*11/12</f>
        <v>2579355.8333333335</v>
      </c>
      <c r="AG24" s="100">
        <f>AF125/12+AG125*11/12</f>
        <v>3035391.6666666665</v>
      </c>
      <c r="AH24" s="100">
        <f>AG125/12+AH125*11/12</f>
        <v>4367871.25</v>
      </c>
      <c r="AI24" s="304" t="s">
        <v>321</v>
      </c>
    </row>
    <row r="25" spans="1:35">
      <c r="A25" s="96"/>
      <c r="B25" s="97" t="s">
        <v>151</v>
      </c>
      <c r="C25" s="98"/>
      <c r="D25" s="98"/>
      <c r="E25" s="98"/>
      <c r="F25" s="317">
        <f t="shared" ref="F25:Q25" si="30">E127</f>
        <v>0</v>
      </c>
      <c r="G25" s="99">
        <f t="shared" si="30"/>
        <v>0</v>
      </c>
      <c r="H25" s="99">
        <f t="shared" si="30"/>
        <v>0</v>
      </c>
      <c r="I25" s="99">
        <f t="shared" si="30"/>
        <v>0</v>
      </c>
      <c r="J25" s="99">
        <f t="shared" si="30"/>
        <v>0</v>
      </c>
      <c r="K25" s="99">
        <f t="shared" si="30"/>
        <v>0</v>
      </c>
      <c r="L25" s="99">
        <f t="shared" si="30"/>
        <v>0</v>
      </c>
      <c r="M25" s="99">
        <f t="shared" si="30"/>
        <v>0</v>
      </c>
      <c r="N25" s="99">
        <f t="shared" si="30"/>
        <v>0</v>
      </c>
      <c r="O25" s="99">
        <f t="shared" si="30"/>
        <v>0</v>
      </c>
      <c r="P25" s="99">
        <f t="shared" si="30"/>
        <v>0</v>
      </c>
      <c r="Q25" s="99">
        <f t="shared" si="30"/>
        <v>0</v>
      </c>
      <c r="R25" s="100">
        <f t="shared" si="27"/>
        <v>0</v>
      </c>
      <c r="S25" s="99">
        <f>Q127</f>
        <v>0</v>
      </c>
      <c r="T25" s="99">
        <f t="shared" ref="T25:AD25" si="31">S127</f>
        <v>0</v>
      </c>
      <c r="U25" s="99">
        <f t="shared" si="31"/>
        <v>0</v>
      </c>
      <c r="V25" s="99">
        <f t="shared" si="31"/>
        <v>0</v>
      </c>
      <c r="W25" s="99">
        <f t="shared" si="31"/>
        <v>0</v>
      </c>
      <c r="X25" s="99">
        <f t="shared" si="31"/>
        <v>0</v>
      </c>
      <c r="Y25" s="99">
        <f t="shared" si="31"/>
        <v>0</v>
      </c>
      <c r="Z25" s="99">
        <f t="shared" si="31"/>
        <v>0</v>
      </c>
      <c r="AA25" s="99">
        <f t="shared" si="31"/>
        <v>0</v>
      </c>
      <c r="AB25" s="99">
        <f t="shared" si="31"/>
        <v>0</v>
      </c>
      <c r="AC25" s="99">
        <f t="shared" si="31"/>
        <v>0</v>
      </c>
      <c r="AD25" s="99">
        <f t="shared" si="31"/>
        <v>0</v>
      </c>
      <c r="AE25" s="100">
        <f t="shared" si="29"/>
        <v>0</v>
      </c>
      <c r="AF25" s="100">
        <f>AD127+AF127*11/12</f>
        <v>0</v>
      </c>
      <c r="AG25" s="100">
        <f>AF127/12+AG127*11/12</f>
        <v>0</v>
      </c>
      <c r="AH25" s="100">
        <f>AG127/12+AH127*11/12</f>
        <v>0</v>
      </c>
      <c r="AI25" s="304" t="s">
        <v>321</v>
      </c>
    </row>
    <row r="26" spans="1:35">
      <c r="A26" s="96"/>
      <c r="B26" s="97" t="s">
        <v>152</v>
      </c>
      <c r="C26" s="98"/>
      <c r="D26" s="98"/>
      <c r="E26" s="98"/>
      <c r="F26" s="317">
        <f t="shared" ref="F26:Q26" si="32">F126</f>
        <v>0</v>
      </c>
      <c r="G26" s="99">
        <f t="shared" si="32"/>
        <v>0</v>
      </c>
      <c r="H26" s="99">
        <f t="shared" si="32"/>
        <v>10000</v>
      </c>
      <c r="I26" s="99">
        <f t="shared" si="32"/>
        <v>10000</v>
      </c>
      <c r="J26" s="99">
        <f t="shared" si="32"/>
        <v>0</v>
      </c>
      <c r="K26" s="99">
        <f t="shared" si="32"/>
        <v>0</v>
      </c>
      <c r="L26" s="99">
        <f t="shared" si="32"/>
        <v>0</v>
      </c>
      <c r="M26" s="99">
        <f t="shared" si="32"/>
        <v>0</v>
      </c>
      <c r="N26" s="99">
        <f t="shared" si="32"/>
        <v>0</v>
      </c>
      <c r="O26" s="99">
        <f t="shared" si="32"/>
        <v>0</v>
      </c>
      <c r="P26" s="99">
        <f t="shared" si="32"/>
        <v>0</v>
      </c>
      <c r="Q26" s="99">
        <f t="shared" si="32"/>
        <v>0</v>
      </c>
      <c r="R26" s="100">
        <f t="shared" si="27"/>
        <v>20000</v>
      </c>
      <c r="S26" s="99">
        <f t="shared" ref="S26:AD26" si="33">S126</f>
        <v>0</v>
      </c>
      <c r="T26" s="99">
        <f t="shared" si="33"/>
        <v>0</v>
      </c>
      <c r="U26" s="99">
        <f t="shared" si="33"/>
        <v>30000</v>
      </c>
      <c r="V26" s="99">
        <f t="shared" si="33"/>
        <v>30000</v>
      </c>
      <c r="W26" s="99">
        <f t="shared" si="33"/>
        <v>0</v>
      </c>
      <c r="X26" s="99">
        <f t="shared" si="33"/>
        <v>0</v>
      </c>
      <c r="Y26" s="99">
        <f t="shared" si="33"/>
        <v>0</v>
      </c>
      <c r="Z26" s="99">
        <f t="shared" si="33"/>
        <v>0</v>
      </c>
      <c r="AA26" s="99">
        <f t="shared" si="33"/>
        <v>0</v>
      </c>
      <c r="AB26" s="99">
        <f t="shared" si="33"/>
        <v>0</v>
      </c>
      <c r="AC26" s="99">
        <f t="shared" si="33"/>
        <v>0</v>
      </c>
      <c r="AD26" s="99">
        <f t="shared" si="33"/>
        <v>0</v>
      </c>
      <c r="AE26" s="100">
        <f t="shared" si="29"/>
        <v>60000</v>
      </c>
      <c r="AF26" s="100">
        <f>AF126</f>
        <v>120000</v>
      </c>
      <c r="AG26" s="100">
        <f>AG126</f>
        <v>240000</v>
      </c>
      <c r="AH26" s="100">
        <f>AH126</f>
        <v>480000</v>
      </c>
      <c r="AI26" s="304" t="s">
        <v>321</v>
      </c>
    </row>
    <row r="27" spans="1:35">
      <c r="A27" s="96"/>
      <c r="B27" s="97" t="s">
        <v>153</v>
      </c>
      <c r="C27" s="98"/>
      <c r="D27" s="98"/>
      <c r="E27" s="98"/>
      <c r="F27" s="317">
        <f>E101+E113+E136</f>
        <v>0</v>
      </c>
      <c r="G27" s="99">
        <f t="shared" ref="G27:Q29" si="34">F101+F113+F136</f>
        <v>650</v>
      </c>
      <c r="H27" s="99">
        <f t="shared" si="34"/>
        <v>650</v>
      </c>
      <c r="I27" s="99">
        <f t="shared" si="34"/>
        <v>650</v>
      </c>
      <c r="J27" s="99">
        <f t="shared" si="34"/>
        <v>650</v>
      </c>
      <c r="K27" s="99">
        <f t="shared" si="34"/>
        <v>650</v>
      </c>
      <c r="L27" s="99">
        <f t="shared" si="34"/>
        <v>1200</v>
      </c>
      <c r="M27" s="99">
        <f t="shared" si="34"/>
        <v>1200</v>
      </c>
      <c r="N27" s="99">
        <f t="shared" si="34"/>
        <v>1200</v>
      </c>
      <c r="O27" s="99">
        <f t="shared" si="34"/>
        <v>1200</v>
      </c>
      <c r="P27" s="99">
        <f t="shared" si="34"/>
        <v>1200</v>
      </c>
      <c r="Q27" s="99">
        <f t="shared" si="34"/>
        <v>1200</v>
      </c>
      <c r="R27" s="100">
        <f t="shared" si="27"/>
        <v>10450</v>
      </c>
      <c r="S27" s="99">
        <f>Q101+Q113+Q136</f>
        <v>1200</v>
      </c>
      <c r="T27" s="99">
        <f>S101+S113+S136</f>
        <v>2400</v>
      </c>
      <c r="U27" s="99">
        <f t="shared" ref="U27:AD29" si="35">T101+T113+T136</f>
        <v>2800</v>
      </c>
      <c r="V27" s="99">
        <f t="shared" si="35"/>
        <v>3200</v>
      </c>
      <c r="W27" s="99">
        <f t="shared" si="35"/>
        <v>3200</v>
      </c>
      <c r="X27" s="99">
        <f t="shared" si="35"/>
        <v>3200</v>
      </c>
      <c r="Y27" s="99">
        <f t="shared" si="35"/>
        <v>3200</v>
      </c>
      <c r="Z27" s="99">
        <f t="shared" si="35"/>
        <v>3200</v>
      </c>
      <c r="AA27" s="99">
        <f t="shared" si="35"/>
        <v>3200</v>
      </c>
      <c r="AB27" s="99">
        <f t="shared" si="35"/>
        <v>3200</v>
      </c>
      <c r="AC27" s="99">
        <f t="shared" si="35"/>
        <v>3200</v>
      </c>
      <c r="AD27" s="99">
        <f t="shared" si="35"/>
        <v>3200</v>
      </c>
      <c r="AE27" s="100">
        <f t="shared" si="29"/>
        <v>35200</v>
      </c>
      <c r="AF27" s="100">
        <f>(AD101+AD113+AD136)+(AF101+AF113+AF136)*11/12</f>
        <v>49400</v>
      </c>
      <c r="AG27" s="100">
        <f t="shared" ref="AG27:AH29" si="36">(AF101+AF113+AF136)/12+(AG101+AG113+AG136)*11/12</f>
        <v>70200</v>
      </c>
      <c r="AH27" s="100">
        <f t="shared" si="36"/>
        <v>85750</v>
      </c>
      <c r="AI27" s="304" t="s">
        <v>321</v>
      </c>
    </row>
    <row r="28" spans="1:35">
      <c r="A28" s="96"/>
      <c r="B28" s="97" t="s">
        <v>60</v>
      </c>
      <c r="C28" s="98"/>
      <c r="D28" s="98"/>
      <c r="E28" s="98"/>
      <c r="F28" s="317">
        <f>E102+E114+E137</f>
        <v>0</v>
      </c>
      <c r="G28" s="99">
        <f t="shared" si="34"/>
        <v>2000</v>
      </c>
      <c r="H28" s="99">
        <f t="shared" si="34"/>
        <v>2000</v>
      </c>
      <c r="I28" s="99">
        <f t="shared" si="34"/>
        <v>2000</v>
      </c>
      <c r="J28" s="99">
        <f t="shared" si="34"/>
        <v>2000</v>
      </c>
      <c r="K28" s="99">
        <f t="shared" si="34"/>
        <v>2000</v>
      </c>
      <c r="L28" s="99">
        <f t="shared" si="34"/>
        <v>3625</v>
      </c>
      <c r="M28" s="99">
        <f t="shared" si="34"/>
        <v>3625</v>
      </c>
      <c r="N28" s="99">
        <f t="shared" si="34"/>
        <v>3625</v>
      </c>
      <c r="O28" s="99">
        <f t="shared" si="34"/>
        <v>3625</v>
      </c>
      <c r="P28" s="99">
        <f t="shared" si="34"/>
        <v>3625</v>
      </c>
      <c r="Q28" s="99">
        <f t="shared" si="34"/>
        <v>3625</v>
      </c>
      <c r="R28" s="100">
        <f t="shared" si="27"/>
        <v>31750</v>
      </c>
      <c r="S28" s="99">
        <f>Q102+Q114+Q137</f>
        <v>3625</v>
      </c>
      <c r="T28" s="99">
        <f>S102+S114+S137</f>
        <v>7250</v>
      </c>
      <c r="U28" s="99">
        <f t="shared" si="35"/>
        <v>9750</v>
      </c>
      <c r="V28" s="99">
        <f t="shared" si="35"/>
        <v>12250</v>
      </c>
      <c r="W28" s="99">
        <f t="shared" si="35"/>
        <v>12250</v>
      </c>
      <c r="X28" s="99">
        <f t="shared" si="35"/>
        <v>12250</v>
      </c>
      <c r="Y28" s="99">
        <f t="shared" si="35"/>
        <v>12250</v>
      </c>
      <c r="Z28" s="99">
        <f t="shared" si="35"/>
        <v>12250</v>
      </c>
      <c r="AA28" s="99">
        <f t="shared" si="35"/>
        <v>12250</v>
      </c>
      <c r="AB28" s="99">
        <f t="shared" si="35"/>
        <v>12250</v>
      </c>
      <c r="AC28" s="99">
        <f t="shared" si="35"/>
        <v>12250</v>
      </c>
      <c r="AD28" s="99">
        <f t="shared" si="35"/>
        <v>12250</v>
      </c>
      <c r="AE28" s="100">
        <f t="shared" si="29"/>
        <v>130875</v>
      </c>
      <c r="AF28" s="100">
        <f>(AD102+AD114+AD137)+(AF102+AF114+AF137)*11/12</f>
        <v>204750</v>
      </c>
      <c r="AG28" s="100">
        <f t="shared" si="36"/>
        <v>303500</v>
      </c>
      <c r="AH28" s="100">
        <f t="shared" si="36"/>
        <v>367000</v>
      </c>
      <c r="AI28" s="304" t="s">
        <v>321</v>
      </c>
    </row>
    <row r="29" spans="1:35">
      <c r="A29" s="96"/>
      <c r="B29" s="97" t="s">
        <v>154</v>
      </c>
      <c r="C29" s="98"/>
      <c r="D29" s="98"/>
      <c r="E29" s="98"/>
      <c r="F29" s="317">
        <f>E103+E115+E138</f>
        <v>0</v>
      </c>
      <c r="G29" s="99">
        <f t="shared" si="34"/>
        <v>200</v>
      </c>
      <c r="H29" s="99">
        <f t="shared" si="34"/>
        <v>200</v>
      </c>
      <c r="I29" s="99">
        <f t="shared" si="34"/>
        <v>200</v>
      </c>
      <c r="J29" s="99">
        <f t="shared" si="34"/>
        <v>200</v>
      </c>
      <c r="K29" s="99">
        <f t="shared" si="34"/>
        <v>200</v>
      </c>
      <c r="L29" s="99">
        <f t="shared" si="34"/>
        <v>350</v>
      </c>
      <c r="M29" s="99">
        <f t="shared" si="34"/>
        <v>350</v>
      </c>
      <c r="N29" s="99">
        <f t="shared" si="34"/>
        <v>350</v>
      </c>
      <c r="O29" s="99">
        <f t="shared" si="34"/>
        <v>350</v>
      </c>
      <c r="P29" s="99">
        <f t="shared" si="34"/>
        <v>350</v>
      </c>
      <c r="Q29" s="99">
        <f t="shared" si="34"/>
        <v>350</v>
      </c>
      <c r="R29" s="100">
        <f t="shared" si="27"/>
        <v>3100</v>
      </c>
      <c r="S29" s="99">
        <f>Q103+Q115+Q138</f>
        <v>350</v>
      </c>
      <c r="T29" s="99">
        <f>S103+S115+S138</f>
        <v>700</v>
      </c>
      <c r="U29" s="99">
        <f t="shared" si="35"/>
        <v>800</v>
      </c>
      <c r="V29" s="99">
        <f t="shared" si="35"/>
        <v>900</v>
      </c>
      <c r="W29" s="99">
        <f t="shared" si="35"/>
        <v>900</v>
      </c>
      <c r="X29" s="99">
        <f t="shared" si="35"/>
        <v>900</v>
      </c>
      <c r="Y29" s="99">
        <f t="shared" si="35"/>
        <v>900</v>
      </c>
      <c r="Z29" s="99">
        <f t="shared" si="35"/>
        <v>900</v>
      </c>
      <c r="AA29" s="99">
        <f t="shared" si="35"/>
        <v>900</v>
      </c>
      <c r="AB29" s="99">
        <f t="shared" si="35"/>
        <v>900</v>
      </c>
      <c r="AC29" s="99">
        <f t="shared" si="35"/>
        <v>900</v>
      </c>
      <c r="AD29" s="99">
        <f t="shared" si="35"/>
        <v>900</v>
      </c>
      <c r="AE29" s="100">
        <f t="shared" si="29"/>
        <v>9950</v>
      </c>
      <c r="AF29" s="100">
        <f>(AD103+AD115+AD138)+(AF103+AF115+AF138)*11/12</f>
        <v>14100</v>
      </c>
      <c r="AG29" s="100">
        <f t="shared" si="36"/>
        <v>21000</v>
      </c>
      <c r="AH29" s="100">
        <f t="shared" si="36"/>
        <v>23800</v>
      </c>
      <c r="AI29" s="304" t="s">
        <v>321</v>
      </c>
    </row>
    <row r="30" spans="1:35">
      <c r="A30" s="96"/>
      <c r="B30" s="97" t="s">
        <v>155</v>
      </c>
      <c r="C30" s="98"/>
      <c r="D30" s="98"/>
      <c r="E30" s="98"/>
      <c r="F30" s="317">
        <f t="shared" ref="F30:Q30" si="37">E144</f>
        <v>0</v>
      </c>
      <c r="G30" s="99">
        <f t="shared" si="37"/>
        <v>90</v>
      </c>
      <c r="H30" s="99">
        <f t="shared" si="37"/>
        <v>90</v>
      </c>
      <c r="I30" s="99">
        <f t="shared" si="37"/>
        <v>90</v>
      </c>
      <c r="J30" s="99">
        <f t="shared" si="37"/>
        <v>90</v>
      </c>
      <c r="K30" s="99">
        <f t="shared" si="37"/>
        <v>90</v>
      </c>
      <c r="L30" s="99">
        <f t="shared" si="37"/>
        <v>157.5</v>
      </c>
      <c r="M30" s="99">
        <f t="shared" si="37"/>
        <v>157.5</v>
      </c>
      <c r="N30" s="99">
        <f t="shared" si="37"/>
        <v>157.5</v>
      </c>
      <c r="O30" s="99">
        <f t="shared" si="37"/>
        <v>157.5</v>
      </c>
      <c r="P30" s="99">
        <f t="shared" si="37"/>
        <v>157.5</v>
      </c>
      <c r="Q30" s="99">
        <f t="shared" si="37"/>
        <v>157.5</v>
      </c>
      <c r="R30" s="100">
        <f t="shared" si="27"/>
        <v>1395</v>
      </c>
      <c r="S30" s="99">
        <f>Q144</f>
        <v>157.5</v>
      </c>
      <c r="T30" s="99">
        <f t="shared" ref="T30:AD30" si="38">S144</f>
        <v>315</v>
      </c>
      <c r="U30" s="99">
        <f t="shared" si="38"/>
        <v>360</v>
      </c>
      <c r="V30" s="99">
        <f t="shared" si="38"/>
        <v>405</v>
      </c>
      <c r="W30" s="99">
        <f t="shared" si="38"/>
        <v>405</v>
      </c>
      <c r="X30" s="99">
        <f t="shared" si="38"/>
        <v>405</v>
      </c>
      <c r="Y30" s="99">
        <f t="shared" si="38"/>
        <v>405</v>
      </c>
      <c r="Z30" s="99">
        <f t="shared" si="38"/>
        <v>405</v>
      </c>
      <c r="AA30" s="99">
        <f t="shared" si="38"/>
        <v>405</v>
      </c>
      <c r="AB30" s="99">
        <f t="shared" si="38"/>
        <v>405</v>
      </c>
      <c r="AC30" s="99">
        <f t="shared" si="38"/>
        <v>405</v>
      </c>
      <c r="AD30" s="99">
        <f t="shared" si="38"/>
        <v>405</v>
      </c>
      <c r="AE30" s="100">
        <f t="shared" si="29"/>
        <v>4477.5</v>
      </c>
      <c r="AF30" s="100">
        <f>AD144+AF144*11/12</f>
        <v>6345</v>
      </c>
      <c r="AG30" s="100">
        <f>AF144/12+AG144*11/12</f>
        <v>9450</v>
      </c>
      <c r="AH30" s="100">
        <f>AG144/12+AH144*11/12</f>
        <v>10710</v>
      </c>
      <c r="AI30" s="304" t="s">
        <v>321</v>
      </c>
    </row>
    <row r="31" spans="1:35">
      <c r="A31" s="96"/>
      <c r="B31" s="97" t="s">
        <v>156</v>
      </c>
      <c r="C31" s="98"/>
      <c r="D31" s="98"/>
      <c r="E31" s="98"/>
      <c r="F31" s="317">
        <f t="shared" ref="F31:Q31" si="39">F391</f>
        <v>1800</v>
      </c>
      <c r="G31" s="99">
        <f t="shared" si="39"/>
        <v>1800</v>
      </c>
      <c r="H31" s="99">
        <f t="shared" si="39"/>
        <v>1800</v>
      </c>
      <c r="I31" s="99">
        <f t="shared" si="39"/>
        <v>1800</v>
      </c>
      <c r="J31" s="99">
        <f>J391</f>
        <v>1800</v>
      </c>
      <c r="K31" s="99">
        <f t="shared" si="39"/>
        <v>3150</v>
      </c>
      <c r="L31" s="99">
        <f t="shared" si="39"/>
        <v>3150</v>
      </c>
      <c r="M31" s="99">
        <f t="shared" si="39"/>
        <v>3150</v>
      </c>
      <c r="N31" s="99">
        <f t="shared" si="39"/>
        <v>3150</v>
      </c>
      <c r="O31" s="99">
        <f t="shared" si="39"/>
        <v>3150</v>
      </c>
      <c r="P31" s="99">
        <f t="shared" si="39"/>
        <v>3150</v>
      </c>
      <c r="Q31" s="99">
        <f t="shared" si="39"/>
        <v>3150</v>
      </c>
      <c r="R31" s="100">
        <f t="shared" si="27"/>
        <v>31050</v>
      </c>
      <c r="S31" s="99">
        <f t="shared" ref="S31:AD31" si="40">S391</f>
        <v>6300</v>
      </c>
      <c r="T31" s="99">
        <f t="shared" si="40"/>
        <v>7200</v>
      </c>
      <c r="U31" s="99">
        <f t="shared" si="40"/>
        <v>8100</v>
      </c>
      <c r="V31" s="99">
        <f t="shared" si="40"/>
        <v>8100</v>
      </c>
      <c r="W31" s="99">
        <f t="shared" si="40"/>
        <v>8100</v>
      </c>
      <c r="X31" s="99">
        <f t="shared" si="40"/>
        <v>8100</v>
      </c>
      <c r="Y31" s="99">
        <f t="shared" si="40"/>
        <v>8100</v>
      </c>
      <c r="Z31" s="99">
        <f t="shared" si="40"/>
        <v>8100</v>
      </c>
      <c r="AA31" s="99">
        <f t="shared" si="40"/>
        <v>8100</v>
      </c>
      <c r="AB31" s="99">
        <f t="shared" si="40"/>
        <v>8100</v>
      </c>
      <c r="AC31" s="99">
        <f t="shared" si="40"/>
        <v>8100</v>
      </c>
      <c r="AD31" s="99">
        <f t="shared" si="40"/>
        <v>8100</v>
      </c>
      <c r="AE31" s="100">
        <f t="shared" si="29"/>
        <v>94500</v>
      </c>
      <c r="AF31" s="100">
        <f>AF391</f>
        <v>10800</v>
      </c>
      <c r="AG31" s="100">
        <f>AG391</f>
        <v>16200</v>
      </c>
      <c r="AH31" s="100">
        <f>AH391</f>
        <v>18000</v>
      </c>
      <c r="AI31" s="304" t="s">
        <v>321</v>
      </c>
    </row>
    <row r="32" spans="1:35">
      <c r="A32" s="96"/>
      <c r="B32" s="97" t="s">
        <v>157</v>
      </c>
      <c r="C32" s="98"/>
      <c r="D32" s="98"/>
      <c r="E32" s="98"/>
      <c r="F32" s="317">
        <f>E143</f>
        <v>0</v>
      </c>
      <c r="G32" s="99">
        <f>F143</f>
        <v>90</v>
      </c>
      <c r="H32" s="99">
        <f t="shared" ref="H32:Q32" si="41">G143</f>
        <v>90</v>
      </c>
      <c r="I32" s="99">
        <f t="shared" si="41"/>
        <v>90</v>
      </c>
      <c r="J32" s="99">
        <f t="shared" si="41"/>
        <v>90</v>
      </c>
      <c r="K32" s="99">
        <f t="shared" si="41"/>
        <v>90</v>
      </c>
      <c r="L32" s="99">
        <f t="shared" si="41"/>
        <v>157.5</v>
      </c>
      <c r="M32" s="99">
        <f t="shared" si="41"/>
        <v>157.5</v>
      </c>
      <c r="N32" s="99">
        <f t="shared" si="41"/>
        <v>157.5</v>
      </c>
      <c r="O32" s="99">
        <f t="shared" si="41"/>
        <v>157.5</v>
      </c>
      <c r="P32" s="99">
        <f t="shared" si="41"/>
        <v>157.5</v>
      </c>
      <c r="Q32" s="99">
        <f t="shared" si="41"/>
        <v>157.5</v>
      </c>
      <c r="R32" s="100">
        <f t="shared" si="27"/>
        <v>1395</v>
      </c>
      <c r="S32" s="99">
        <f>Q143</f>
        <v>157.5</v>
      </c>
      <c r="T32" s="99">
        <f t="shared" ref="T32:AD32" si="42">S143</f>
        <v>315</v>
      </c>
      <c r="U32" s="99">
        <f t="shared" si="42"/>
        <v>360</v>
      </c>
      <c r="V32" s="99">
        <f t="shared" si="42"/>
        <v>405</v>
      </c>
      <c r="W32" s="99">
        <f t="shared" si="42"/>
        <v>405</v>
      </c>
      <c r="X32" s="99">
        <f t="shared" si="42"/>
        <v>405</v>
      </c>
      <c r="Y32" s="99">
        <f t="shared" si="42"/>
        <v>405</v>
      </c>
      <c r="Z32" s="99">
        <f t="shared" si="42"/>
        <v>405</v>
      </c>
      <c r="AA32" s="99">
        <f t="shared" si="42"/>
        <v>405</v>
      </c>
      <c r="AB32" s="99">
        <f t="shared" si="42"/>
        <v>405</v>
      </c>
      <c r="AC32" s="99">
        <f t="shared" si="42"/>
        <v>405</v>
      </c>
      <c r="AD32" s="99">
        <f t="shared" si="42"/>
        <v>405</v>
      </c>
      <c r="AE32" s="100">
        <f t="shared" si="29"/>
        <v>4477.5</v>
      </c>
      <c r="AF32" s="100">
        <f>AD143+AF143*11/12</f>
        <v>900</v>
      </c>
      <c r="AG32" s="100">
        <f>AF143/12+AG143*11/12</f>
        <v>787.5</v>
      </c>
      <c r="AH32" s="100">
        <f>AG143/12+AH143*11/12</f>
        <v>892.5</v>
      </c>
      <c r="AI32" s="304" t="s">
        <v>321</v>
      </c>
    </row>
    <row r="33" spans="1:37">
      <c r="A33" s="96"/>
      <c r="B33" s="97" t="s">
        <v>158</v>
      </c>
      <c r="C33" s="98"/>
      <c r="D33" s="98"/>
      <c r="E33" s="98"/>
      <c r="F33" s="317">
        <f t="shared" ref="F33:Q33" si="43">F139</f>
        <v>0</v>
      </c>
      <c r="G33" s="99">
        <f t="shared" si="43"/>
        <v>0</v>
      </c>
      <c r="H33" s="99">
        <f t="shared" si="43"/>
        <v>0</v>
      </c>
      <c r="I33" s="99">
        <f t="shared" si="43"/>
        <v>105</v>
      </c>
      <c r="J33" s="99">
        <f t="shared" si="43"/>
        <v>157.5</v>
      </c>
      <c r="K33" s="99">
        <f t="shared" si="43"/>
        <v>210</v>
      </c>
      <c r="L33" s="99">
        <f t="shared" si="43"/>
        <v>262.5</v>
      </c>
      <c r="M33" s="99">
        <f t="shared" si="43"/>
        <v>840</v>
      </c>
      <c r="N33" s="99">
        <f t="shared" si="43"/>
        <v>892.5</v>
      </c>
      <c r="O33" s="99">
        <f t="shared" si="43"/>
        <v>945</v>
      </c>
      <c r="P33" s="99">
        <f t="shared" si="43"/>
        <v>1890</v>
      </c>
      <c r="Q33" s="99">
        <f t="shared" si="43"/>
        <v>2100</v>
      </c>
      <c r="R33" s="100">
        <f t="shared" si="27"/>
        <v>7402.5</v>
      </c>
      <c r="S33" s="99">
        <f t="shared" ref="S33:AD33" si="44">S139</f>
        <v>2478</v>
      </c>
      <c r="T33" s="99">
        <f t="shared" si="44"/>
        <v>2924.04</v>
      </c>
      <c r="U33" s="99">
        <f t="shared" si="44"/>
        <v>3450.3629999999998</v>
      </c>
      <c r="V33" s="99">
        <f t="shared" si="44"/>
        <v>4071.4380000000001</v>
      </c>
      <c r="W33" s="99">
        <f t="shared" si="44"/>
        <v>4804.2960000000003</v>
      </c>
      <c r="X33" s="99">
        <f t="shared" si="44"/>
        <v>5669.076</v>
      </c>
      <c r="Y33" s="99">
        <f t="shared" si="44"/>
        <v>6689.5080000000007</v>
      </c>
      <c r="Z33" s="99">
        <f t="shared" si="44"/>
        <v>7893.6270000000013</v>
      </c>
      <c r="AA33" s="99">
        <f t="shared" si="44"/>
        <v>9314.487000000001</v>
      </c>
      <c r="AB33" s="99">
        <f t="shared" si="44"/>
        <v>10991.085000000001</v>
      </c>
      <c r="AC33" s="99">
        <f t="shared" si="44"/>
        <v>12969.474000000002</v>
      </c>
      <c r="AD33" s="99">
        <f t="shared" si="44"/>
        <v>15303.981000000002</v>
      </c>
      <c r="AE33" s="100">
        <f t="shared" si="29"/>
        <v>86559.375</v>
      </c>
      <c r="AF33" s="100">
        <f>AF139</f>
        <v>211751.19</v>
      </c>
      <c r="AG33" s="100">
        <f>AG139</f>
        <v>307071.00900000002</v>
      </c>
      <c r="AH33" s="100">
        <f>AH139</f>
        <v>407799.56700000004</v>
      </c>
      <c r="AI33" s="304" t="s">
        <v>321</v>
      </c>
    </row>
    <row r="34" spans="1:37">
      <c r="A34" s="96"/>
      <c r="B34" s="97" t="s">
        <v>159</v>
      </c>
      <c r="C34" s="98"/>
      <c r="D34" s="98"/>
      <c r="E34" s="98"/>
      <c r="F34" s="317">
        <f t="shared" ref="F34:Q34" si="45">E100</f>
        <v>0</v>
      </c>
      <c r="G34" s="99">
        <f t="shared" si="45"/>
        <v>0</v>
      </c>
      <c r="H34" s="99">
        <f t="shared" si="45"/>
        <v>0</v>
      </c>
      <c r="I34" s="99">
        <f t="shared" si="45"/>
        <v>0</v>
      </c>
      <c r="J34" s="99">
        <f t="shared" si="45"/>
        <v>0</v>
      </c>
      <c r="K34" s="99">
        <f t="shared" si="45"/>
        <v>0</v>
      </c>
      <c r="L34" s="99">
        <f t="shared" si="45"/>
        <v>0</v>
      </c>
      <c r="M34" s="99">
        <f t="shared" si="45"/>
        <v>0</v>
      </c>
      <c r="N34" s="99">
        <f t="shared" si="45"/>
        <v>0</v>
      </c>
      <c r="O34" s="99">
        <f t="shared" si="45"/>
        <v>0</v>
      </c>
      <c r="P34" s="99">
        <f t="shared" si="45"/>
        <v>0</v>
      </c>
      <c r="Q34" s="99">
        <f t="shared" si="45"/>
        <v>0</v>
      </c>
      <c r="R34" s="100">
        <f t="shared" si="27"/>
        <v>0</v>
      </c>
      <c r="S34" s="99">
        <f>Q100</f>
        <v>0</v>
      </c>
      <c r="T34" s="99">
        <f t="shared" ref="T34:AD34" si="46">S100</f>
        <v>41666.666666666664</v>
      </c>
      <c r="U34" s="99">
        <f t="shared" si="46"/>
        <v>41666.666666666664</v>
      </c>
      <c r="V34" s="99">
        <f t="shared" si="46"/>
        <v>41666.666666666664</v>
      </c>
      <c r="W34" s="99">
        <f t="shared" si="46"/>
        <v>41666.666666666664</v>
      </c>
      <c r="X34" s="99">
        <f t="shared" si="46"/>
        <v>41666.666666666664</v>
      </c>
      <c r="Y34" s="99">
        <f t="shared" si="46"/>
        <v>41666.666666666664</v>
      </c>
      <c r="Z34" s="99">
        <f t="shared" si="46"/>
        <v>41666.666666666664</v>
      </c>
      <c r="AA34" s="99">
        <f t="shared" si="46"/>
        <v>41666.666666666664</v>
      </c>
      <c r="AB34" s="99">
        <f t="shared" si="46"/>
        <v>41666.666666666664</v>
      </c>
      <c r="AC34" s="99">
        <f t="shared" si="46"/>
        <v>41666.666666666664</v>
      </c>
      <c r="AD34" s="99">
        <f t="shared" si="46"/>
        <v>41666.666666666664</v>
      </c>
      <c r="AE34" s="100">
        <f t="shared" si="29"/>
        <v>458333.33333333337</v>
      </c>
      <c r="AF34" s="100">
        <f>AD100+AF100*11/12</f>
        <v>729166.66666666674</v>
      </c>
      <c r="AG34" s="100">
        <f>AF100/12+AG100*11/12</f>
        <v>1093750.0000000002</v>
      </c>
      <c r="AH34" s="100">
        <f>AG100/12+AH100*11/12</f>
        <v>1640625.0000000002</v>
      </c>
      <c r="AI34" s="304" t="s">
        <v>321</v>
      </c>
    </row>
    <row r="35" spans="1:37">
      <c r="A35" s="96"/>
      <c r="B35" s="97" t="s">
        <v>160</v>
      </c>
      <c r="C35" s="98"/>
      <c r="D35" s="98"/>
      <c r="E35" s="98"/>
      <c r="F35" s="317">
        <f t="shared" ref="F35:Q35" si="47">E140</f>
        <v>0</v>
      </c>
      <c r="G35" s="99">
        <f t="shared" si="47"/>
        <v>0</v>
      </c>
      <c r="H35" s="99">
        <f t="shared" si="47"/>
        <v>0</v>
      </c>
      <c r="I35" s="99">
        <f t="shared" si="47"/>
        <v>0</v>
      </c>
      <c r="J35" s="99">
        <f t="shared" si="47"/>
        <v>2868.17</v>
      </c>
      <c r="K35" s="99">
        <f t="shared" si="47"/>
        <v>4302.26</v>
      </c>
      <c r="L35" s="99">
        <f t="shared" si="47"/>
        <v>5736.34</v>
      </c>
      <c r="M35" s="99">
        <f t="shared" si="47"/>
        <v>7170.43</v>
      </c>
      <c r="N35" s="99">
        <f t="shared" si="47"/>
        <v>22945.37</v>
      </c>
      <c r="O35" s="99">
        <f t="shared" si="47"/>
        <v>24379.45</v>
      </c>
      <c r="P35" s="99">
        <f t="shared" si="47"/>
        <v>25813.54</v>
      </c>
      <c r="Q35" s="99">
        <f t="shared" si="47"/>
        <v>51627.08</v>
      </c>
      <c r="R35" s="100">
        <f t="shared" si="27"/>
        <v>144842.64000000001</v>
      </c>
      <c r="S35" s="99">
        <f>Q140</f>
        <v>57363.42</v>
      </c>
      <c r="T35" s="99">
        <f t="shared" ref="T35:AD35" si="48">S140</f>
        <v>67688.83</v>
      </c>
      <c r="U35" s="99">
        <f t="shared" si="48"/>
        <v>79872.820000000007</v>
      </c>
      <c r="V35" s="99">
        <f t="shared" si="48"/>
        <v>76043.490000000005</v>
      </c>
      <c r="W35" s="99">
        <f t="shared" si="48"/>
        <v>89731.53</v>
      </c>
      <c r="X35" s="99">
        <f t="shared" si="48"/>
        <v>105883.18</v>
      </c>
      <c r="Y35" s="99">
        <f t="shared" si="48"/>
        <v>124942.31</v>
      </c>
      <c r="Z35" s="99">
        <f t="shared" si="48"/>
        <v>147431.88</v>
      </c>
      <c r="AA35" s="99">
        <f t="shared" si="48"/>
        <v>148049.91</v>
      </c>
      <c r="AB35" s="99">
        <f t="shared" si="48"/>
        <v>174699.03</v>
      </c>
      <c r="AC35" s="99">
        <f t="shared" si="48"/>
        <v>186072.66</v>
      </c>
      <c r="AD35" s="99">
        <f t="shared" si="48"/>
        <v>219565.63</v>
      </c>
      <c r="AE35" s="100">
        <f t="shared" si="29"/>
        <v>1477344.69</v>
      </c>
      <c r="AF35" s="100">
        <f>AD140+AF140*11/12</f>
        <v>3545175.4087500004</v>
      </c>
      <c r="AG35" s="100">
        <f>AF140/12+AG140*11/12</f>
        <v>4944924.2780000009</v>
      </c>
      <c r="AH35" s="100">
        <f>AG140/12+AH140*11/12</f>
        <v>6434447.7537500001</v>
      </c>
      <c r="AI35" s="304" t="s">
        <v>321</v>
      </c>
    </row>
    <row r="36" spans="1:37">
      <c r="A36" s="96"/>
      <c r="B36" s="97" t="s">
        <v>161</v>
      </c>
      <c r="C36" s="98"/>
      <c r="D36" s="98"/>
      <c r="E36" s="98"/>
      <c r="F36" s="317">
        <f t="shared" ref="F36:Q36" ca="1" si="49">-F204+E204+F164</f>
        <v>0</v>
      </c>
      <c r="G36" s="99">
        <f t="shared" ca="1" si="49"/>
        <v>0</v>
      </c>
      <c r="H36" s="99">
        <f t="shared" ca="1" si="49"/>
        <v>0</v>
      </c>
      <c r="I36" s="99">
        <f t="shared" ca="1" si="49"/>
        <v>0</v>
      </c>
      <c r="J36" s="99">
        <f t="shared" ca="1" si="49"/>
        <v>0</v>
      </c>
      <c r="K36" s="99">
        <f t="shared" ca="1" si="49"/>
        <v>0</v>
      </c>
      <c r="L36" s="99">
        <f t="shared" ca="1" si="49"/>
        <v>0</v>
      </c>
      <c r="M36" s="99">
        <f t="shared" ca="1" si="49"/>
        <v>0</v>
      </c>
      <c r="N36" s="99">
        <f t="shared" ca="1" si="49"/>
        <v>0</v>
      </c>
      <c r="O36" s="99">
        <f t="shared" ca="1" si="49"/>
        <v>0</v>
      </c>
      <c r="P36" s="99">
        <f t="shared" ca="1" si="49"/>
        <v>0</v>
      </c>
      <c r="Q36" s="99">
        <f t="shared" ca="1" si="49"/>
        <v>0</v>
      </c>
      <c r="R36" s="100">
        <f t="shared" ca="1" si="27"/>
        <v>0</v>
      </c>
      <c r="S36" s="99">
        <f t="shared" ref="S36:AD36" ca="1" si="50">-S204+R204+S164</f>
        <v>0</v>
      </c>
      <c r="T36" s="99">
        <f t="shared" ca="1" si="50"/>
        <v>0</v>
      </c>
      <c r="U36" s="99">
        <f t="shared" ca="1" si="50"/>
        <v>0</v>
      </c>
      <c r="V36" s="99">
        <f t="shared" ca="1" si="50"/>
        <v>0</v>
      </c>
      <c r="W36" s="99">
        <f t="shared" ca="1" si="50"/>
        <v>0</v>
      </c>
      <c r="X36" s="99">
        <f t="shared" ca="1" si="50"/>
        <v>0</v>
      </c>
      <c r="Y36" s="99">
        <f t="shared" ca="1" si="50"/>
        <v>0</v>
      </c>
      <c r="Z36" s="99">
        <f t="shared" ca="1" si="50"/>
        <v>0</v>
      </c>
      <c r="AA36" s="99">
        <f t="shared" ca="1" si="50"/>
        <v>0</v>
      </c>
      <c r="AB36" s="99">
        <f t="shared" ca="1" si="50"/>
        <v>0</v>
      </c>
      <c r="AC36" s="99">
        <f t="shared" ca="1" si="50"/>
        <v>0</v>
      </c>
      <c r="AD36" s="99">
        <f t="shared" ca="1" si="50"/>
        <v>0</v>
      </c>
      <c r="AE36" s="100">
        <f t="shared" ca="1" si="29"/>
        <v>0</v>
      </c>
      <c r="AF36" s="100">
        <f ca="1">-AF204+AE204+AF164</f>
        <v>460977.45950000006</v>
      </c>
      <c r="AG36" s="100">
        <f ca="1">-AG204+AF204+AG164</f>
        <v>1157654.1734666666</v>
      </c>
      <c r="AH36" s="100">
        <f ca="1">-AH204+AG204+AH164</f>
        <v>1555909.8909666671</v>
      </c>
      <c r="AI36" s="304" t="s">
        <v>321</v>
      </c>
    </row>
    <row r="37" spans="1:37">
      <c r="A37" s="96"/>
      <c r="B37" s="97" t="s">
        <v>162</v>
      </c>
      <c r="C37" s="98"/>
      <c r="D37" s="98"/>
      <c r="E37" s="98"/>
      <c r="F37" s="317">
        <f t="shared" ref="F37:Q37" si="51">F187-E187</f>
        <v>2900</v>
      </c>
      <c r="G37" s="99">
        <f t="shared" si="51"/>
        <v>0</v>
      </c>
      <c r="H37" s="99">
        <f t="shared" si="51"/>
        <v>0</v>
      </c>
      <c r="I37" s="99">
        <f t="shared" si="51"/>
        <v>0</v>
      </c>
      <c r="J37" s="99">
        <f t="shared" si="51"/>
        <v>0</v>
      </c>
      <c r="K37" s="99">
        <f t="shared" si="51"/>
        <v>2425</v>
      </c>
      <c r="L37" s="99">
        <f t="shared" si="51"/>
        <v>0</v>
      </c>
      <c r="M37" s="99">
        <f t="shared" si="51"/>
        <v>0</v>
      </c>
      <c r="N37" s="99">
        <f t="shared" si="51"/>
        <v>0</v>
      </c>
      <c r="O37" s="99">
        <f t="shared" si="51"/>
        <v>0</v>
      </c>
      <c r="P37" s="99">
        <f t="shared" si="51"/>
        <v>0</v>
      </c>
      <c r="Q37" s="99">
        <f t="shared" si="51"/>
        <v>0</v>
      </c>
      <c r="R37" s="100">
        <f t="shared" si="27"/>
        <v>5325</v>
      </c>
      <c r="S37" s="99">
        <f>S187-Q187</f>
        <v>5325</v>
      </c>
      <c r="T37" s="99">
        <f t="shared" ref="T37:AD37" si="52">T187-S187</f>
        <v>2950</v>
      </c>
      <c r="U37" s="99">
        <f t="shared" si="52"/>
        <v>2950</v>
      </c>
      <c r="V37" s="99">
        <f t="shared" si="52"/>
        <v>0</v>
      </c>
      <c r="W37" s="99">
        <f t="shared" si="52"/>
        <v>0</v>
      </c>
      <c r="X37" s="99">
        <f t="shared" si="52"/>
        <v>0</v>
      </c>
      <c r="Y37" s="99">
        <f t="shared" si="52"/>
        <v>0</v>
      </c>
      <c r="Z37" s="99">
        <f t="shared" si="52"/>
        <v>0</v>
      </c>
      <c r="AA37" s="99">
        <f t="shared" si="52"/>
        <v>0</v>
      </c>
      <c r="AB37" s="99">
        <f t="shared" si="52"/>
        <v>0</v>
      </c>
      <c r="AC37" s="99">
        <f t="shared" si="52"/>
        <v>0</v>
      </c>
      <c r="AD37" s="99">
        <f t="shared" si="52"/>
        <v>0</v>
      </c>
      <c r="AE37" s="100">
        <f t="shared" si="29"/>
        <v>11225</v>
      </c>
      <c r="AF37" s="100">
        <f>AF187-AE187</f>
        <v>6850</v>
      </c>
      <c r="AG37" s="100">
        <f>AG187-AF187</f>
        <v>11700</v>
      </c>
      <c r="AH37" s="100">
        <f>AH187-AG187</f>
        <v>5900</v>
      </c>
      <c r="AI37" s="304" t="s">
        <v>321</v>
      </c>
    </row>
    <row r="38" spans="1:37">
      <c r="A38" s="96"/>
      <c r="B38" s="97" t="s">
        <v>163</v>
      </c>
      <c r="C38" s="98"/>
      <c r="D38" s="98"/>
      <c r="E38" s="98"/>
      <c r="F38" s="317">
        <f t="shared" ref="F38:Q38" ca="1" si="53">SUM(F73:F75)</f>
        <v>0</v>
      </c>
      <c r="G38" s="99">
        <f t="shared" ca="1" si="53"/>
        <v>0</v>
      </c>
      <c r="H38" s="99">
        <f t="shared" ca="1" si="53"/>
        <v>0</v>
      </c>
      <c r="I38" s="99">
        <f t="shared" ca="1" si="53"/>
        <v>0</v>
      </c>
      <c r="J38" s="99">
        <f t="shared" ca="1" si="53"/>
        <v>0</v>
      </c>
      <c r="K38" s="99">
        <f t="shared" ca="1" si="53"/>
        <v>0</v>
      </c>
      <c r="L38" s="99">
        <f t="shared" ca="1" si="53"/>
        <v>0</v>
      </c>
      <c r="M38" s="99">
        <f t="shared" ca="1" si="53"/>
        <v>0</v>
      </c>
      <c r="N38" s="99">
        <f t="shared" ca="1" si="53"/>
        <v>0</v>
      </c>
      <c r="O38" s="99">
        <f t="shared" ca="1" si="53"/>
        <v>0</v>
      </c>
      <c r="P38" s="99">
        <f t="shared" ca="1" si="53"/>
        <v>0</v>
      </c>
      <c r="Q38" s="99">
        <f t="shared" ca="1" si="53"/>
        <v>0</v>
      </c>
      <c r="R38" s="100">
        <f t="shared" ca="1" si="27"/>
        <v>0</v>
      </c>
      <c r="S38" s="99">
        <f t="shared" ref="S38:AD38" ca="1" si="54">SUM(S73:S75)</f>
        <v>0</v>
      </c>
      <c r="T38" s="99">
        <f t="shared" ca="1" si="54"/>
        <v>0</v>
      </c>
      <c r="U38" s="99">
        <f t="shared" ca="1" si="54"/>
        <v>0</v>
      </c>
      <c r="V38" s="99">
        <f t="shared" ca="1" si="54"/>
        <v>0</v>
      </c>
      <c r="W38" s="99">
        <f t="shared" ca="1" si="54"/>
        <v>0</v>
      </c>
      <c r="X38" s="99">
        <f t="shared" ca="1" si="54"/>
        <v>0</v>
      </c>
      <c r="Y38" s="99">
        <f t="shared" ca="1" si="54"/>
        <v>0</v>
      </c>
      <c r="Z38" s="99">
        <f t="shared" ca="1" si="54"/>
        <v>0</v>
      </c>
      <c r="AA38" s="99">
        <f t="shared" ca="1" si="54"/>
        <v>0</v>
      </c>
      <c r="AB38" s="99">
        <f t="shared" ca="1" si="54"/>
        <v>0</v>
      </c>
      <c r="AC38" s="99">
        <f t="shared" ca="1" si="54"/>
        <v>0</v>
      </c>
      <c r="AD38" s="99">
        <f t="shared" ca="1" si="54"/>
        <v>0</v>
      </c>
      <c r="AE38" s="100">
        <f t="shared" ca="1" si="29"/>
        <v>0</v>
      </c>
      <c r="AF38" s="100">
        <f ca="1">SUM(AF73:AF75)</f>
        <v>0</v>
      </c>
      <c r="AG38" s="100">
        <f ca="1">SUM(AG73:AG75)</f>
        <v>0</v>
      </c>
      <c r="AH38" s="100">
        <f ca="1">SUM(AH73:AH75)</f>
        <v>0</v>
      </c>
      <c r="AI38" s="304" t="s">
        <v>321</v>
      </c>
    </row>
    <row r="39" spans="1:37">
      <c r="A39" s="96"/>
      <c r="B39" s="97" t="s">
        <v>164</v>
      </c>
      <c r="C39" s="98"/>
      <c r="D39" s="98"/>
      <c r="E39" s="98"/>
      <c r="F39" s="317">
        <f ca="1">SUM(F158:F160)</f>
        <v>0</v>
      </c>
      <c r="G39" s="99">
        <f t="shared" ref="G39:Q39" ca="1" si="55">SUM(G158:G160)</f>
        <v>0</v>
      </c>
      <c r="H39" s="99">
        <f t="shared" ca="1" si="55"/>
        <v>0</v>
      </c>
      <c r="I39" s="99">
        <f t="shared" ca="1" si="55"/>
        <v>0</v>
      </c>
      <c r="J39" s="99">
        <f t="shared" ca="1" si="55"/>
        <v>0</v>
      </c>
      <c r="K39" s="99">
        <f t="shared" ca="1" si="55"/>
        <v>0</v>
      </c>
      <c r="L39" s="99">
        <f t="shared" ca="1" si="55"/>
        <v>0</v>
      </c>
      <c r="M39" s="99">
        <f t="shared" ca="1" si="55"/>
        <v>0</v>
      </c>
      <c r="N39" s="99">
        <f t="shared" ca="1" si="55"/>
        <v>0</v>
      </c>
      <c r="O39" s="99">
        <f t="shared" ca="1" si="55"/>
        <v>0</v>
      </c>
      <c r="P39" s="99">
        <f t="shared" ca="1" si="55"/>
        <v>0</v>
      </c>
      <c r="Q39" s="99">
        <f t="shared" ca="1" si="55"/>
        <v>0</v>
      </c>
      <c r="R39" s="100">
        <f t="shared" ca="1" si="27"/>
        <v>0</v>
      </c>
      <c r="S39" s="99">
        <f ca="1">SUM(S158:S160)</f>
        <v>0</v>
      </c>
      <c r="T39" s="99">
        <f t="shared" ref="T39:AH39" ca="1" si="56">SUM(T158:T160)</f>
        <v>0</v>
      </c>
      <c r="U39" s="99">
        <f t="shared" ca="1" si="56"/>
        <v>0</v>
      </c>
      <c r="V39" s="99">
        <f t="shared" ca="1" si="56"/>
        <v>0</v>
      </c>
      <c r="W39" s="99">
        <f t="shared" ca="1" si="56"/>
        <v>0</v>
      </c>
      <c r="X39" s="99">
        <f t="shared" ca="1" si="56"/>
        <v>0</v>
      </c>
      <c r="Y39" s="99">
        <f t="shared" ca="1" si="56"/>
        <v>0</v>
      </c>
      <c r="Z39" s="99">
        <f t="shared" ca="1" si="56"/>
        <v>0</v>
      </c>
      <c r="AA39" s="99">
        <f t="shared" ca="1" si="56"/>
        <v>0</v>
      </c>
      <c r="AB39" s="99">
        <f t="shared" ca="1" si="56"/>
        <v>0</v>
      </c>
      <c r="AC39" s="99">
        <f t="shared" ca="1" si="56"/>
        <v>0</v>
      </c>
      <c r="AD39" s="99">
        <f t="shared" ca="1" si="56"/>
        <v>0</v>
      </c>
      <c r="AE39" s="100">
        <f t="shared" ca="1" si="29"/>
        <v>0</v>
      </c>
      <c r="AF39" s="100">
        <f t="shared" ca="1" si="56"/>
        <v>0</v>
      </c>
      <c r="AG39" s="100">
        <f t="shared" ca="1" si="56"/>
        <v>0</v>
      </c>
      <c r="AH39" s="100">
        <f t="shared" ca="1" si="56"/>
        <v>0</v>
      </c>
      <c r="AI39" s="304" t="s">
        <v>321</v>
      </c>
    </row>
    <row r="40" spans="1:37">
      <c r="A40" s="96"/>
      <c r="B40" s="97" t="s">
        <v>165</v>
      </c>
      <c r="C40" s="98"/>
      <c r="D40" s="98"/>
      <c r="E40" s="98"/>
      <c r="F40" s="317">
        <f>E202</f>
        <v>0</v>
      </c>
      <c r="G40" s="99">
        <v>0</v>
      </c>
      <c r="H40" s="99">
        <v>0</v>
      </c>
      <c r="I40" s="99">
        <v>0</v>
      </c>
      <c r="J40" s="99">
        <v>0</v>
      </c>
      <c r="K40" s="99">
        <v>0</v>
      </c>
      <c r="L40" s="99">
        <v>0</v>
      </c>
      <c r="M40" s="99">
        <v>0</v>
      </c>
      <c r="N40" s="99">
        <v>0</v>
      </c>
      <c r="O40" s="99">
        <v>0</v>
      </c>
      <c r="P40" s="99">
        <v>0</v>
      </c>
      <c r="Q40" s="99">
        <v>0</v>
      </c>
      <c r="R40" s="100">
        <f t="shared" si="27"/>
        <v>0</v>
      </c>
      <c r="S40" s="99">
        <v>0</v>
      </c>
      <c r="T40" s="99">
        <v>0</v>
      </c>
      <c r="U40" s="99">
        <v>0</v>
      </c>
      <c r="V40" s="99">
        <v>0</v>
      </c>
      <c r="W40" s="99">
        <v>0</v>
      </c>
      <c r="X40" s="99">
        <v>0</v>
      </c>
      <c r="Y40" s="99">
        <v>0</v>
      </c>
      <c r="Z40" s="99">
        <v>0</v>
      </c>
      <c r="AA40" s="99">
        <v>0</v>
      </c>
      <c r="AB40" s="99">
        <v>0</v>
      </c>
      <c r="AC40" s="99">
        <v>0</v>
      </c>
      <c r="AD40" s="99">
        <v>0</v>
      </c>
      <c r="AE40" s="100">
        <f t="shared" si="29"/>
        <v>0</v>
      </c>
      <c r="AF40" s="100">
        <v>0</v>
      </c>
      <c r="AG40" s="100">
        <v>0</v>
      </c>
      <c r="AH40" s="100">
        <v>0</v>
      </c>
      <c r="AI40" s="304" t="s">
        <v>321</v>
      </c>
    </row>
    <row r="41" spans="1:37">
      <c r="A41" s="83" t="s">
        <v>166</v>
      </c>
      <c r="B41" s="102"/>
      <c r="C41" s="85"/>
      <c r="D41" s="85"/>
      <c r="E41" s="85"/>
      <c r="F41" s="320">
        <f t="shared" ref="F41:Q41" ca="1" si="57">SUM(F21:F40)</f>
        <v>7304.166666666667</v>
      </c>
      <c r="G41" s="103">
        <f t="shared" ca="1" si="57"/>
        <v>7434.166666666667</v>
      </c>
      <c r="H41" s="103">
        <f t="shared" ca="1" si="57"/>
        <v>17434.166666666668</v>
      </c>
      <c r="I41" s="103">
        <f t="shared" ca="1" si="57"/>
        <v>22539.166666666668</v>
      </c>
      <c r="J41" s="103">
        <f t="shared" ca="1" si="57"/>
        <v>15459.836666666668</v>
      </c>
      <c r="K41" s="103">
        <f t="shared" ca="1" si="57"/>
        <v>36033.926666666666</v>
      </c>
      <c r="L41" s="103">
        <f t="shared" ca="1" si="57"/>
        <v>44430.506666666668</v>
      </c>
      <c r="M41" s="103">
        <f t="shared" ca="1" si="57"/>
        <v>51442.096666666665</v>
      </c>
      <c r="N41" s="103">
        <f t="shared" ca="1" si="57"/>
        <v>67269.536666666667</v>
      </c>
      <c r="O41" s="103">
        <f t="shared" ca="1" si="57"/>
        <v>68756.116666666669</v>
      </c>
      <c r="P41" s="103">
        <f t="shared" ca="1" si="57"/>
        <v>81135.206666666665</v>
      </c>
      <c r="Q41" s="103">
        <f t="shared" ca="1" si="57"/>
        <v>127158.74666666666</v>
      </c>
      <c r="R41" s="104">
        <f t="shared" ca="1" si="27"/>
        <v>546397.64</v>
      </c>
      <c r="S41" s="103">
        <f t="shared" ref="S41:AD41" ca="1" si="58">SUM(S21:S40)</f>
        <v>135810.58666666667</v>
      </c>
      <c r="T41" s="103">
        <f t="shared" ca="1" si="58"/>
        <v>204668.70333333337</v>
      </c>
      <c r="U41" s="103">
        <f t="shared" ca="1" si="58"/>
        <v>261245.68300000002</v>
      </c>
      <c r="V41" s="103">
        <f t="shared" ca="1" si="58"/>
        <v>265608.09466666664</v>
      </c>
      <c r="W41" s="103">
        <f t="shared" ca="1" si="58"/>
        <v>256238.99266666666</v>
      </c>
      <c r="X41" s="103">
        <f t="shared" ca="1" si="58"/>
        <v>280584.42266666668</v>
      </c>
      <c r="Y41" s="103">
        <f t="shared" ca="1" si="58"/>
        <v>309311.98466666666</v>
      </c>
      <c r="Z41" s="103">
        <f t="shared" ca="1" si="58"/>
        <v>359933.67366666667</v>
      </c>
      <c r="AA41" s="103">
        <f t="shared" ca="1" si="58"/>
        <v>377023.56366666663</v>
      </c>
      <c r="AB41" s="103">
        <f t="shared" ca="1" si="58"/>
        <v>423110.28166666662</v>
      </c>
      <c r="AC41" s="103">
        <f t="shared" ca="1" si="58"/>
        <v>457420.30066666671</v>
      </c>
      <c r="AD41" s="103">
        <f t="shared" ca="1" si="58"/>
        <v>550400.77766666678</v>
      </c>
      <c r="AE41" s="104">
        <f t="shared" ca="1" si="29"/>
        <v>3881357.0650000004</v>
      </c>
      <c r="AF41" s="104">
        <f ca="1">SUM(AF21:AF40)</f>
        <v>8852557.5582500007</v>
      </c>
      <c r="AG41" s="104">
        <f ca="1">SUM(AG21:AG40)</f>
        <v>12642903.987133335</v>
      </c>
      <c r="AH41" s="104">
        <f ca="1">SUM(AH21:AH40)</f>
        <v>17162885.39211667</v>
      </c>
      <c r="AI41" s="304" t="s">
        <v>321</v>
      </c>
    </row>
    <row r="42" spans="1:37">
      <c r="A42" s="96"/>
      <c r="B42" s="97"/>
      <c r="C42" s="98"/>
      <c r="D42" s="98"/>
      <c r="E42" s="98"/>
      <c r="F42" s="318"/>
      <c r="G42" s="99"/>
      <c r="H42" s="99"/>
      <c r="I42" s="99"/>
      <c r="J42" s="99"/>
      <c r="K42" s="99"/>
      <c r="L42" s="99"/>
      <c r="M42" s="99"/>
      <c r="N42" s="99"/>
      <c r="O42" s="99"/>
      <c r="P42" s="99"/>
      <c r="Q42" s="99"/>
      <c r="R42" s="100"/>
      <c r="S42" s="99"/>
      <c r="T42" s="99"/>
      <c r="U42" s="99"/>
      <c r="V42" s="99"/>
      <c r="W42" s="99"/>
      <c r="X42" s="99"/>
      <c r="Y42" s="99"/>
      <c r="Z42" s="99"/>
      <c r="AA42" s="99"/>
      <c r="AB42" s="99"/>
      <c r="AC42" s="99"/>
      <c r="AD42" s="99"/>
      <c r="AE42" s="100"/>
      <c r="AF42" s="100"/>
      <c r="AG42" s="100"/>
      <c r="AH42" s="100"/>
      <c r="AI42" s="304" t="s">
        <v>321</v>
      </c>
    </row>
    <row r="43" spans="1:37">
      <c r="A43" s="96" t="s">
        <v>167</v>
      </c>
      <c r="B43" s="97"/>
      <c r="C43" s="98"/>
      <c r="D43" s="98"/>
      <c r="E43" s="98"/>
      <c r="F43" s="318">
        <f t="shared" ref="F43:O43" ca="1" si="59">F18-F41</f>
        <v>-7304.166666666667</v>
      </c>
      <c r="G43" s="99">
        <f t="shared" ca="1" si="59"/>
        <v>-7434.166666666667</v>
      </c>
      <c r="H43" s="99">
        <f t="shared" ca="1" si="59"/>
        <v>-17434.166666666668</v>
      </c>
      <c r="I43" s="99">
        <f t="shared" ca="1" si="59"/>
        <v>130033.33333333333</v>
      </c>
      <c r="J43" s="99">
        <f t="shared" ca="1" si="59"/>
        <v>-9028.586666666668</v>
      </c>
      <c r="K43" s="99">
        <f ca="1">K18-K41</f>
        <v>-27030.176666666666</v>
      </c>
      <c r="L43" s="99">
        <f t="shared" ca="1" si="59"/>
        <v>-32854.256666666668</v>
      </c>
      <c r="M43" s="99">
        <f t="shared" ca="1" si="59"/>
        <v>-24430.846666666665</v>
      </c>
      <c r="N43" s="99">
        <f t="shared" ca="1" si="59"/>
        <v>-24823.286666666667</v>
      </c>
      <c r="O43" s="99">
        <f t="shared" ca="1" si="59"/>
        <v>-23737.366666666669</v>
      </c>
      <c r="P43" s="99">
        <f t="shared" ref="P43:Y43" ca="1" si="60">P18-P41</f>
        <v>-11677.706666666665</v>
      </c>
      <c r="Q43" s="99">
        <f t="shared" ca="1" si="60"/>
        <v>-29403.746666666659</v>
      </c>
      <c r="R43" s="100">
        <f t="shared" ca="1" si="60"/>
        <v>-85125.140000000014</v>
      </c>
      <c r="S43" s="99">
        <f t="shared" ca="1" si="60"/>
        <v>776350.41333333333</v>
      </c>
      <c r="T43" s="99">
        <f t="shared" ca="1" si="60"/>
        <v>-72318.723333333357</v>
      </c>
      <c r="U43" s="99">
        <f t="shared" ca="1" si="60"/>
        <v>-105072.80950000003</v>
      </c>
      <c r="V43" s="99">
        <f t="shared" ca="1" si="60"/>
        <v>-81323.970166666637</v>
      </c>
      <c r="W43" s="99">
        <f t="shared" ca="1" si="60"/>
        <v>-38783.50966666665</v>
      </c>
      <c r="X43" s="99">
        <f t="shared" ca="1" si="60"/>
        <v>-23986.808666666679</v>
      </c>
      <c r="Y43" s="99">
        <f t="shared" ca="1" si="60"/>
        <v>-6526.6766666666372</v>
      </c>
      <c r="Z43" s="99">
        <f t="shared" ref="Z43:AE43" ca="1" si="61">Z18-Z41</f>
        <v>-2646.8661666666158</v>
      </c>
      <c r="AA43" s="99">
        <f t="shared" ca="1" si="61"/>
        <v>44575.22933333338</v>
      </c>
      <c r="AB43" s="99">
        <f t="shared" ca="1" si="61"/>
        <v>74376.232333333348</v>
      </c>
      <c r="AC43" s="99">
        <f t="shared" ca="1" si="61"/>
        <v>129613.39483333332</v>
      </c>
      <c r="AD43" s="99">
        <f t="shared" ca="1" si="61"/>
        <v>142298.8698333333</v>
      </c>
      <c r="AE43" s="100">
        <f t="shared" ca="1" si="61"/>
        <v>836554.77549999952</v>
      </c>
      <c r="AF43" s="100">
        <f ca="1">AF18-AF41</f>
        <v>1465872.9399999995</v>
      </c>
      <c r="AG43" s="100">
        <f ca="1">AG18-AG41</f>
        <v>2208964.1567416657</v>
      </c>
      <c r="AH43" s="100">
        <f ca="1">AH18-AH41</f>
        <v>2613639.2516333312</v>
      </c>
      <c r="AI43" s="304" t="s">
        <v>321</v>
      </c>
    </row>
    <row r="44" spans="1:37">
      <c r="A44" s="96"/>
      <c r="B44" s="97"/>
      <c r="C44" s="98"/>
      <c r="D44" s="98"/>
      <c r="E44" s="98"/>
      <c r="F44" s="318"/>
      <c r="G44" s="99"/>
      <c r="H44" s="99"/>
      <c r="I44" s="99"/>
      <c r="J44" s="99"/>
      <c r="K44" s="99"/>
      <c r="L44" s="99"/>
      <c r="M44" s="99"/>
      <c r="N44" s="99"/>
      <c r="O44" s="99"/>
      <c r="P44" s="99"/>
      <c r="Q44" s="99"/>
      <c r="R44" s="100"/>
      <c r="S44" s="99"/>
      <c r="T44" s="99"/>
      <c r="U44" s="99"/>
      <c r="V44" s="99"/>
      <c r="W44" s="99"/>
      <c r="X44" s="99"/>
      <c r="Y44" s="99"/>
      <c r="Z44" s="99"/>
      <c r="AA44" s="99"/>
      <c r="AB44" s="99"/>
      <c r="AC44" s="99"/>
      <c r="AD44" s="99"/>
      <c r="AE44" s="100"/>
      <c r="AF44" s="100"/>
      <c r="AG44" s="100"/>
      <c r="AH44" s="100"/>
      <c r="AI44" s="304" t="s">
        <v>321</v>
      </c>
    </row>
    <row r="45" spans="1:37" ht="8.25" thickBot="1">
      <c r="A45" s="96" t="s">
        <v>168</v>
      </c>
      <c r="B45" s="97"/>
      <c r="C45" s="70"/>
      <c r="D45" s="70"/>
      <c r="E45" s="70"/>
      <c r="F45" s="318">
        <f ca="1">F11+F43</f>
        <v>92695.833333333328</v>
      </c>
      <c r="G45" s="99">
        <f t="shared" ref="G45:Q45" ca="1" si="62">G11+G43</f>
        <v>85261.666666666657</v>
      </c>
      <c r="H45" s="99">
        <f t="shared" ca="1" si="62"/>
        <v>67827.499999999985</v>
      </c>
      <c r="I45" s="99">
        <f t="shared" ca="1" si="62"/>
        <v>197860.83333333331</v>
      </c>
      <c r="J45" s="99">
        <f t="shared" ca="1" si="62"/>
        <v>188832.24666666664</v>
      </c>
      <c r="K45" s="99">
        <f ca="1">K11+K43</f>
        <v>161802.06999999998</v>
      </c>
      <c r="L45" s="99">
        <f t="shared" ca="1" si="62"/>
        <v>128947.81333333331</v>
      </c>
      <c r="M45" s="99">
        <f t="shared" ca="1" si="62"/>
        <v>104516.96666666665</v>
      </c>
      <c r="N45" s="99">
        <f t="shared" ca="1" si="62"/>
        <v>79693.679999999978</v>
      </c>
      <c r="O45" s="99">
        <f t="shared" ca="1" si="62"/>
        <v>55956.31333333331</v>
      </c>
      <c r="P45" s="99">
        <f t="shared" ca="1" si="62"/>
        <v>44278.606666666645</v>
      </c>
      <c r="Q45" s="99">
        <f t="shared" ca="1" si="62"/>
        <v>14874.859999999986</v>
      </c>
      <c r="R45" s="100">
        <f ca="1">Q45</f>
        <v>14874.859999999986</v>
      </c>
      <c r="S45" s="99">
        <f t="shared" ref="S45:AD45" ca="1" si="63">S11+S43</f>
        <v>791225.27333333332</v>
      </c>
      <c r="T45" s="99">
        <f t="shared" ca="1" si="63"/>
        <v>718906.54999999993</v>
      </c>
      <c r="U45" s="99">
        <f t="shared" ca="1" si="63"/>
        <v>613833.74049999984</v>
      </c>
      <c r="V45" s="99">
        <f t="shared" ca="1" si="63"/>
        <v>532509.77033333317</v>
      </c>
      <c r="W45" s="99">
        <f t="shared" ca="1" si="63"/>
        <v>493726.26066666655</v>
      </c>
      <c r="X45" s="99">
        <f t="shared" ca="1" si="63"/>
        <v>469739.45199999987</v>
      </c>
      <c r="Y45" s="99">
        <f t="shared" ca="1" si="63"/>
        <v>463212.77533333324</v>
      </c>
      <c r="Z45" s="99">
        <f t="shared" ca="1" si="63"/>
        <v>460565.90916666662</v>
      </c>
      <c r="AA45" s="99">
        <f t="shared" ca="1" si="63"/>
        <v>505141.1385</v>
      </c>
      <c r="AB45" s="99">
        <f t="shared" ca="1" si="63"/>
        <v>579517.37083333335</v>
      </c>
      <c r="AC45" s="99">
        <f t="shared" ca="1" si="63"/>
        <v>709130.76566666667</v>
      </c>
      <c r="AD45" s="99">
        <f t="shared" ca="1" si="63"/>
        <v>851429.63549999997</v>
      </c>
      <c r="AE45" s="100">
        <f ca="1">AD45</f>
        <v>851429.63549999997</v>
      </c>
      <c r="AF45" s="100">
        <f ca="1">AF11+AF43</f>
        <v>2317302.5754999993</v>
      </c>
      <c r="AG45" s="100">
        <f ca="1">AG11+AG43</f>
        <v>4526266.732241665</v>
      </c>
      <c r="AH45" s="100">
        <f ca="1">AH11+AH43</f>
        <v>7139905.9838749962</v>
      </c>
      <c r="AI45" s="304" t="s">
        <v>321</v>
      </c>
      <c r="AK45" s="371">
        <f ca="1">AH45</f>
        <v>7139905.9838749962</v>
      </c>
    </row>
    <row r="46" spans="1:37" s="65" customFormat="1" ht="8.25" thickTop="1">
      <c r="A46" s="305" t="s">
        <v>169</v>
      </c>
      <c r="B46" s="306"/>
      <c r="C46" s="307"/>
      <c r="D46" s="307"/>
      <c r="E46" s="307"/>
      <c r="F46" s="310"/>
      <c r="G46" s="310"/>
      <c r="H46" s="310"/>
      <c r="I46" s="310"/>
      <c r="J46" s="310"/>
      <c r="K46" s="310"/>
      <c r="L46" s="310"/>
      <c r="M46" s="310"/>
      <c r="N46" s="310"/>
      <c r="O46" s="310"/>
      <c r="P46" s="310"/>
      <c r="Q46" s="310"/>
      <c r="R46" s="311"/>
      <c r="S46" s="310"/>
      <c r="T46" s="310"/>
      <c r="U46" s="310"/>
      <c r="V46" s="310"/>
      <c r="W46" s="310"/>
      <c r="X46" s="310"/>
      <c r="Y46" s="310"/>
      <c r="Z46" s="310"/>
      <c r="AA46" s="310"/>
      <c r="AB46" s="310"/>
      <c r="AC46" s="310"/>
      <c r="AD46" s="310"/>
      <c r="AE46" s="311"/>
      <c r="AF46" s="311"/>
      <c r="AG46" s="311"/>
      <c r="AH46" s="311"/>
      <c r="AI46" s="304" t="s">
        <v>321</v>
      </c>
    </row>
    <row r="47" spans="1:37" s="65" customFormat="1" ht="8.25" outlineLevel="1" thickBot="1">
      <c r="A47" s="312" t="str">
        <f>$A$1</f>
        <v>PEP STRAW</v>
      </c>
      <c r="B47" s="313"/>
      <c r="C47" s="314"/>
      <c r="D47" s="314"/>
      <c r="E47" s="314"/>
      <c r="F47" s="315"/>
      <c r="G47" s="315"/>
      <c r="H47" s="315"/>
      <c r="I47" s="315"/>
      <c r="J47" s="315"/>
      <c r="K47" s="315"/>
      <c r="L47" s="315"/>
      <c r="M47" s="315"/>
      <c r="N47" s="315"/>
      <c r="O47" s="315"/>
      <c r="P47" s="315"/>
      <c r="Q47" s="315"/>
      <c r="R47" s="316"/>
      <c r="S47" s="315"/>
      <c r="T47" s="315"/>
      <c r="U47" s="315"/>
      <c r="V47" s="315"/>
      <c r="W47" s="315"/>
      <c r="X47" s="315"/>
      <c r="Y47" s="315"/>
      <c r="Z47" s="315"/>
      <c r="AA47" s="315"/>
      <c r="AB47" s="315"/>
      <c r="AC47" s="315"/>
      <c r="AD47" s="315"/>
      <c r="AE47" s="316"/>
      <c r="AF47" s="316"/>
      <c r="AG47" s="316"/>
      <c r="AH47" s="316"/>
      <c r="AI47" s="304" t="s">
        <v>321</v>
      </c>
    </row>
    <row r="48" spans="1:37" ht="8.25" thickTop="1">
      <c r="A48" s="83"/>
      <c r="B48" s="84">
        <f ca="1">NOW()</f>
        <v>44371.35163020833</v>
      </c>
      <c r="C48" s="85"/>
      <c r="D48" s="85"/>
      <c r="E48" s="85"/>
      <c r="F48" s="86" t="str">
        <f t="shared" ref="F48:Q48" si="64">F$8</f>
        <v>Month 1</v>
      </c>
      <c r="G48" s="86" t="str">
        <f t="shared" si="64"/>
        <v>Month 2</v>
      </c>
      <c r="H48" s="86" t="str">
        <f t="shared" si="64"/>
        <v>Month 3</v>
      </c>
      <c r="I48" s="86" t="str">
        <f t="shared" si="64"/>
        <v>Month 4</v>
      </c>
      <c r="J48" s="86" t="str">
        <f t="shared" si="64"/>
        <v>Month 5</v>
      </c>
      <c r="K48" s="86" t="str">
        <f t="shared" si="64"/>
        <v>Month 6</v>
      </c>
      <c r="L48" s="86" t="str">
        <f t="shared" si="64"/>
        <v>Month 7</v>
      </c>
      <c r="M48" s="86" t="str">
        <f t="shared" si="64"/>
        <v>Month 8</v>
      </c>
      <c r="N48" s="86" t="str">
        <f t="shared" si="64"/>
        <v>Month 9</v>
      </c>
      <c r="O48" s="86" t="str">
        <f t="shared" si="64"/>
        <v>Month 10</v>
      </c>
      <c r="P48" s="86" t="str">
        <f t="shared" si="64"/>
        <v>Month 11</v>
      </c>
      <c r="Q48" s="86" t="str">
        <f t="shared" si="64"/>
        <v>Month 12</v>
      </c>
      <c r="R48" s="87" t="s">
        <v>127</v>
      </c>
      <c r="S48" s="86" t="str">
        <f t="shared" ref="S48:AD48" si="65">S$8</f>
        <v>Month 13</v>
      </c>
      <c r="T48" s="86" t="str">
        <f t="shared" si="65"/>
        <v>Month 14</v>
      </c>
      <c r="U48" s="86" t="str">
        <f t="shared" si="65"/>
        <v>Month 15</v>
      </c>
      <c r="V48" s="86" t="str">
        <f t="shared" si="65"/>
        <v>Month 16</v>
      </c>
      <c r="W48" s="86" t="str">
        <f t="shared" si="65"/>
        <v>Month 17</v>
      </c>
      <c r="X48" s="86" t="str">
        <f t="shared" si="65"/>
        <v>Month 18</v>
      </c>
      <c r="Y48" s="86" t="str">
        <f t="shared" si="65"/>
        <v>Month 19</v>
      </c>
      <c r="Z48" s="86" t="str">
        <f t="shared" si="65"/>
        <v>Month 20</v>
      </c>
      <c r="AA48" s="86" t="str">
        <f t="shared" si="65"/>
        <v>Month 21</v>
      </c>
      <c r="AB48" s="86" t="str">
        <f t="shared" si="65"/>
        <v>Month 22</v>
      </c>
      <c r="AC48" s="86" t="str">
        <f t="shared" si="65"/>
        <v>Month 23</v>
      </c>
      <c r="AD48" s="86" t="str">
        <f t="shared" si="65"/>
        <v>Month 24</v>
      </c>
      <c r="AE48" s="87" t="s">
        <v>127</v>
      </c>
      <c r="AF48" s="87" t="str">
        <f>AF$8</f>
        <v>Total</v>
      </c>
      <c r="AG48" s="87" t="str">
        <f>AG$8</f>
        <v>Total</v>
      </c>
      <c r="AH48" s="87" t="str">
        <f>AH$8</f>
        <v>Total</v>
      </c>
      <c r="AI48" s="304" t="s">
        <v>321</v>
      </c>
    </row>
    <row r="49" spans="1:35">
      <c r="A49" s="89"/>
      <c r="B49" s="90">
        <f ca="1">NOW()</f>
        <v>44371.35163020833</v>
      </c>
      <c r="C49" s="91"/>
      <c r="D49" s="91"/>
      <c r="E49" s="91"/>
      <c r="F49" s="92">
        <f t="shared" ref="F49:AH49" si="66">F$1</f>
        <v>43466</v>
      </c>
      <c r="G49" s="92">
        <f t="shared" si="66"/>
        <v>43497</v>
      </c>
      <c r="H49" s="92">
        <f t="shared" si="66"/>
        <v>43528</v>
      </c>
      <c r="I49" s="92">
        <f t="shared" si="66"/>
        <v>43559</v>
      </c>
      <c r="J49" s="92">
        <f t="shared" si="66"/>
        <v>43590</v>
      </c>
      <c r="K49" s="92">
        <f t="shared" si="66"/>
        <v>43621</v>
      </c>
      <c r="L49" s="92">
        <f t="shared" si="66"/>
        <v>43652</v>
      </c>
      <c r="M49" s="92">
        <f t="shared" si="66"/>
        <v>43683</v>
      </c>
      <c r="N49" s="92">
        <f t="shared" si="66"/>
        <v>43714</v>
      </c>
      <c r="O49" s="92">
        <f t="shared" si="66"/>
        <v>43745</v>
      </c>
      <c r="P49" s="92">
        <f t="shared" si="66"/>
        <v>43776</v>
      </c>
      <c r="Q49" s="92">
        <f t="shared" si="66"/>
        <v>43807</v>
      </c>
      <c r="R49" s="93">
        <f t="shared" si="66"/>
        <v>43807</v>
      </c>
      <c r="S49" s="92">
        <f t="shared" si="66"/>
        <v>43838</v>
      </c>
      <c r="T49" s="92">
        <f t="shared" si="66"/>
        <v>43869</v>
      </c>
      <c r="U49" s="92">
        <f t="shared" si="66"/>
        <v>43900</v>
      </c>
      <c r="V49" s="92">
        <f t="shared" si="66"/>
        <v>43931</v>
      </c>
      <c r="W49" s="92">
        <f t="shared" si="66"/>
        <v>43962</v>
      </c>
      <c r="X49" s="92">
        <f t="shared" si="66"/>
        <v>43993</v>
      </c>
      <c r="Y49" s="92">
        <f t="shared" si="66"/>
        <v>44024</v>
      </c>
      <c r="Z49" s="92">
        <f t="shared" si="66"/>
        <v>44055</v>
      </c>
      <c r="AA49" s="92">
        <f t="shared" si="66"/>
        <v>44086</v>
      </c>
      <c r="AB49" s="92">
        <f t="shared" si="66"/>
        <v>44117</v>
      </c>
      <c r="AC49" s="92">
        <f t="shared" si="66"/>
        <v>44148</v>
      </c>
      <c r="AD49" s="92">
        <f t="shared" si="66"/>
        <v>44179</v>
      </c>
      <c r="AE49" s="93">
        <f t="shared" si="66"/>
        <v>44179</v>
      </c>
      <c r="AF49" s="93">
        <f t="shared" si="66"/>
        <v>44544</v>
      </c>
      <c r="AG49" s="93">
        <f t="shared" si="66"/>
        <v>44909</v>
      </c>
      <c r="AH49" s="93">
        <f t="shared" si="66"/>
        <v>45274</v>
      </c>
      <c r="AI49" s="304" t="s">
        <v>321</v>
      </c>
    </row>
    <row r="50" spans="1:35">
      <c r="A50" s="96"/>
      <c r="B50" s="97"/>
      <c r="C50" s="98"/>
      <c r="D50" s="98"/>
      <c r="E50" s="98"/>
      <c r="F50" s="97"/>
      <c r="G50" s="97"/>
      <c r="H50" s="97"/>
      <c r="I50" s="97"/>
      <c r="J50" s="97"/>
      <c r="K50" s="97"/>
      <c r="L50" s="97"/>
      <c r="M50" s="97"/>
      <c r="N50" s="97"/>
      <c r="O50" s="97"/>
      <c r="P50" s="97"/>
      <c r="Q50" s="97"/>
      <c r="R50" s="96"/>
      <c r="S50" s="97"/>
      <c r="T50" s="97"/>
      <c r="U50" s="97"/>
      <c r="V50" s="97"/>
      <c r="W50" s="97"/>
      <c r="X50" s="97"/>
      <c r="Y50" s="97"/>
      <c r="Z50" s="97"/>
      <c r="AA50" s="97"/>
      <c r="AB50" s="97"/>
      <c r="AC50" s="97"/>
      <c r="AD50" s="97"/>
      <c r="AE50" s="96"/>
      <c r="AF50" s="100"/>
      <c r="AG50" s="100"/>
      <c r="AH50" s="100"/>
      <c r="AI50" s="304" t="s">
        <v>321</v>
      </c>
    </row>
    <row r="51" spans="1:35">
      <c r="A51" s="96" t="s">
        <v>140</v>
      </c>
      <c r="B51" s="97"/>
      <c r="C51" s="98"/>
      <c r="D51" s="98"/>
      <c r="E51" s="98"/>
      <c r="F51" s="99">
        <f>E177</f>
        <v>100000</v>
      </c>
      <c r="G51" s="99">
        <f t="shared" ref="G51:Q51" ca="1" si="67">F80</f>
        <v>92695.833333333328</v>
      </c>
      <c r="H51" s="99">
        <f t="shared" ca="1" si="67"/>
        <v>85261.666666666657</v>
      </c>
      <c r="I51" s="99">
        <f t="shared" ca="1" si="67"/>
        <v>67827.5</v>
      </c>
      <c r="J51" s="99">
        <f t="shared" ca="1" si="67"/>
        <v>197860.83333333334</v>
      </c>
      <c r="K51" s="99">
        <f t="shared" ca="1" si="67"/>
        <v>188832.24666666667</v>
      </c>
      <c r="L51" s="99">
        <f t="shared" ca="1" si="67"/>
        <v>161802.07</v>
      </c>
      <c r="M51" s="99">
        <f t="shared" ca="1" si="67"/>
        <v>128947.81333333334</v>
      </c>
      <c r="N51" s="99">
        <f t="shared" ca="1" si="67"/>
        <v>104516.96666666666</v>
      </c>
      <c r="O51" s="99">
        <f t="shared" ca="1" si="67"/>
        <v>79693.680000000008</v>
      </c>
      <c r="P51" s="99">
        <f t="shared" ca="1" si="67"/>
        <v>55956.313333333354</v>
      </c>
      <c r="Q51" s="99">
        <f t="shared" ca="1" si="67"/>
        <v>44278.606666666688</v>
      </c>
      <c r="R51" s="100">
        <f>F51</f>
        <v>100000</v>
      </c>
      <c r="S51" s="99">
        <f ca="1">Q80</f>
        <v>14874.860000000022</v>
      </c>
      <c r="T51" s="99">
        <f t="shared" ref="T51:AD51" ca="1" si="68">S80</f>
        <v>791225.27333333332</v>
      </c>
      <c r="U51" s="99">
        <f t="shared" ca="1" si="68"/>
        <v>718906.55</v>
      </c>
      <c r="V51" s="99">
        <f ca="1">U80</f>
        <v>613833.74050000007</v>
      </c>
      <c r="W51" s="99">
        <f t="shared" ca="1" si="68"/>
        <v>532509.77033333341</v>
      </c>
      <c r="X51" s="99">
        <f t="shared" ca="1" si="68"/>
        <v>493726.26066666679</v>
      </c>
      <c r="Y51" s="99">
        <f t="shared" ca="1" si="68"/>
        <v>469739.45200000016</v>
      </c>
      <c r="Z51" s="99">
        <f t="shared" ca="1" si="68"/>
        <v>463212.77533333347</v>
      </c>
      <c r="AA51" s="99">
        <f t="shared" ca="1" si="68"/>
        <v>460565.90916666685</v>
      </c>
      <c r="AB51" s="99">
        <f t="shared" ca="1" si="68"/>
        <v>505141.13850000023</v>
      </c>
      <c r="AC51" s="99">
        <f t="shared" ca="1" si="68"/>
        <v>579517.37083333358</v>
      </c>
      <c r="AD51" s="99">
        <f t="shared" ca="1" si="68"/>
        <v>709130.76566666714</v>
      </c>
      <c r="AE51" s="100">
        <f ca="1">S51</f>
        <v>14874.860000000022</v>
      </c>
      <c r="AF51" s="100">
        <f ca="1">AE80</f>
        <v>851429.63550000056</v>
      </c>
      <c r="AG51" s="100">
        <f ca="1">AF80</f>
        <v>2317302.5755000003</v>
      </c>
      <c r="AH51" s="100">
        <f ca="1">AG80</f>
        <v>4526266.7322416659</v>
      </c>
      <c r="AI51" s="304" t="s">
        <v>321</v>
      </c>
    </row>
    <row r="52" spans="1:35">
      <c r="A52" s="96"/>
      <c r="B52" s="97"/>
      <c r="C52" s="98"/>
      <c r="D52" s="98"/>
      <c r="E52" s="98"/>
      <c r="F52" s="99"/>
      <c r="G52" s="99"/>
      <c r="H52" s="99"/>
      <c r="I52" s="99"/>
      <c r="J52" s="99"/>
      <c r="K52" s="99"/>
      <c r="L52" s="99"/>
      <c r="M52" s="99"/>
      <c r="N52" s="99"/>
      <c r="O52" s="99"/>
      <c r="P52" s="99"/>
      <c r="Q52" s="99"/>
      <c r="R52" s="100"/>
      <c r="S52" s="99"/>
      <c r="T52" s="99"/>
      <c r="U52" s="99"/>
      <c r="V52" s="99"/>
      <c r="W52" s="99"/>
      <c r="X52" s="99"/>
      <c r="Y52" s="99"/>
      <c r="Z52" s="99"/>
      <c r="AA52" s="99"/>
      <c r="AB52" s="99"/>
      <c r="AC52" s="99"/>
      <c r="AD52" s="99"/>
      <c r="AE52" s="100"/>
      <c r="AF52" s="100"/>
      <c r="AG52" s="100"/>
      <c r="AH52" s="100"/>
      <c r="AI52" s="304" t="s">
        <v>321</v>
      </c>
    </row>
    <row r="53" spans="1:35">
      <c r="A53" s="96" t="s">
        <v>170</v>
      </c>
      <c r="B53" s="97"/>
      <c r="C53" s="98"/>
      <c r="D53" s="98"/>
      <c r="E53" s="98"/>
      <c r="F53" s="99"/>
      <c r="G53" s="99"/>
      <c r="H53" s="99"/>
      <c r="I53" s="99"/>
      <c r="J53" s="99"/>
      <c r="K53" s="99"/>
      <c r="L53" s="99"/>
      <c r="M53" s="99"/>
      <c r="N53" s="99"/>
      <c r="O53" s="99"/>
      <c r="P53" s="99"/>
      <c r="Q53" s="99"/>
      <c r="R53" s="100"/>
      <c r="S53" s="99"/>
      <c r="T53" s="99"/>
      <c r="U53" s="99"/>
      <c r="V53" s="99"/>
      <c r="W53" s="99"/>
      <c r="X53" s="99"/>
      <c r="Y53" s="99"/>
      <c r="Z53" s="99"/>
      <c r="AA53" s="99"/>
      <c r="AB53" s="99"/>
      <c r="AC53" s="99"/>
      <c r="AD53" s="99"/>
      <c r="AE53" s="100"/>
      <c r="AF53" s="100"/>
      <c r="AG53" s="100"/>
      <c r="AH53" s="100"/>
      <c r="AI53" s="304" t="s">
        <v>321</v>
      </c>
    </row>
    <row r="54" spans="1:35">
      <c r="A54" s="96"/>
      <c r="B54" s="97" t="s">
        <v>171</v>
      </c>
      <c r="C54" s="98"/>
      <c r="D54" s="98"/>
      <c r="E54" s="98"/>
      <c r="F54" s="99">
        <f t="shared" ref="F54:Q54" ca="1" si="69">F166</f>
        <v>-7509.166666666667</v>
      </c>
      <c r="G54" s="99">
        <f t="shared" ca="1" si="69"/>
        <v>-7509.166666666667</v>
      </c>
      <c r="H54" s="99">
        <f t="shared" ca="1" si="69"/>
        <v>-22509.166666666664</v>
      </c>
      <c r="I54" s="99">
        <f t="shared" ca="1" si="69"/>
        <v>-20337.336666666662</v>
      </c>
      <c r="J54" s="99">
        <f t="shared" ca="1" si="69"/>
        <v>-14251.426666666666</v>
      </c>
      <c r="K54" s="99">
        <f t="shared" ca="1" si="69"/>
        <v>-34223.42333333334</v>
      </c>
      <c r="L54" s="99">
        <f t="shared" ca="1" si="69"/>
        <v>-38137.513333333336</v>
      </c>
      <c r="M54" s="99">
        <f t="shared" ca="1" si="69"/>
        <v>-26192.453333333338</v>
      </c>
      <c r="N54" s="99">
        <f t="shared" ca="1" si="69"/>
        <v>-25106.533333333326</v>
      </c>
      <c r="O54" s="99">
        <f t="shared" ca="1" si="69"/>
        <v>-34020.623333333322</v>
      </c>
      <c r="P54" s="99">
        <f t="shared" ca="1" si="69"/>
        <v>-34474.16333333333</v>
      </c>
      <c r="Q54" s="99">
        <f t="shared" ca="1" si="69"/>
        <v>-10130.503333333327</v>
      </c>
      <c r="R54" s="100">
        <f ca="1">SUM(F54:Q54)</f>
        <v>-274401.47666666668</v>
      </c>
      <c r="S54" s="99">
        <f t="shared" ref="S54:AD54" ca="1" si="70">S166</f>
        <v>-75971.496666666644</v>
      </c>
      <c r="T54" s="99">
        <f t="shared" ca="1" si="70"/>
        <v>-80691.400000000023</v>
      </c>
      <c r="U54" s="99">
        <f ca="1">U166</f>
        <v>-96348.399333333335</v>
      </c>
      <c r="V54" s="99">
        <f ca="1">V166</f>
        <v>-86434.839333333337</v>
      </c>
      <c r="W54" s="99">
        <f t="shared" ca="1" si="70"/>
        <v>-44738.305333333294</v>
      </c>
      <c r="X54" s="99">
        <f t="shared" ca="1" si="70"/>
        <v>-30935.995333333325</v>
      </c>
      <c r="Y54" s="99">
        <f t="shared" ca="1" si="70"/>
        <v>-31372.829333333299</v>
      </c>
      <c r="Z54" s="99">
        <f t="shared" ca="1" si="70"/>
        <v>10755.852666666673</v>
      </c>
      <c r="AA54" s="99">
        <f t="shared" ca="1" si="70"/>
        <v>34547.012666666706</v>
      </c>
      <c r="AB54" s="99">
        <f t="shared" ca="1" si="70"/>
        <v>82692.08666666667</v>
      </c>
      <c r="AC54" s="99">
        <f t="shared" ca="1" si="70"/>
        <v>87008.788666666835</v>
      </c>
      <c r="AD54" s="99">
        <f t="shared" ca="1" si="70"/>
        <v>201045.27466666675</v>
      </c>
      <c r="AE54" s="100">
        <f ca="1">SUM(S54:AD54)</f>
        <v>-30444.249999999593</v>
      </c>
      <c r="AF54" s="100">
        <f ca="1">AF166</f>
        <v>1226800.6456666661</v>
      </c>
      <c r="AG54" s="100">
        <f ca="1">AG166</f>
        <v>2007990.0405999999</v>
      </c>
      <c r="AH54" s="100">
        <f ca="1">AH166</f>
        <v>2442489.7684000004</v>
      </c>
      <c r="AI54" s="304" t="s">
        <v>321</v>
      </c>
    </row>
    <row r="55" spans="1:35">
      <c r="A55" s="96"/>
      <c r="B55" s="97" t="s">
        <v>172</v>
      </c>
      <c r="C55" s="98"/>
      <c r="D55" s="98"/>
      <c r="E55" s="98"/>
      <c r="F55" s="99">
        <f t="shared" ref="F55:Q55" si="71">F193-E193</f>
        <v>75</v>
      </c>
      <c r="G55" s="99">
        <f t="shared" si="71"/>
        <v>75</v>
      </c>
      <c r="H55" s="99">
        <f t="shared" si="71"/>
        <v>75.000000000000028</v>
      </c>
      <c r="I55" s="99">
        <f t="shared" si="71"/>
        <v>74.999999999999972</v>
      </c>
      <c r="J55" s="99">
        <f t="shared" si="71"/>
        <v>75</v>
      </c>
      <c r="K55" s="99">
        <f t="shared" si="71"/>
        <v>135.41666666666663</v>
      </c>
      <c r="L55" s="99">
        <f t="shared" si="71"/>
        <v>135.41666666666674</v>
      </c>
      <c r="M55" s="99">
        <f t="shared" si="71"/>
        <v>135.41666666666663</v>
      </c>
      <c r="N55" s="99">
        <f t="shared" si="71"/>
        <v>135.41666666666674</v>
      </c>
      <c r="O55" s="99">
        <f t="shared" si="71"/>
        <v>135.41666666666674</v>
      </c>
      <c r="P55" s="99">
        <f t="shared" si="71"/>
        <v>135.41666666666674</v>
      </c>
      <c r="Q55" s="99">
        <f t="shared" si="71"/>
        <v>135.41666666666652</v>
      </c>
      <c r="R55" s="100">
        <f>SUM(F55:Q55)</f>
        <v>1322.9166666666667</v>
      </c>
      <c r="S55" s="99">
        <f t="shared" ref="S55:AD55" ca="1" si="72">S193-R193</f>
        <v>270.83333333333348</v>
      </c>
      <c r="T55" s="99">
        <f t="shared" ca="1" si="72"/>
        <v>349.99999999999977</v>
      </c>
      <c r="U55" s="99">
        <f t="shared" ca="1" si="72"/>
        <v>429.16666666666652</v>
      </c>
      <c r="V55" s="99">
        <f t="shared" ca="1" si="72"/>
        <v>429.16666666666652</v>
      </c>
      <c r="W55" s="99">
        <f t="shared" ca="1" si="72"/>
        <v>429.16666666666652</v>
      </c>
      <c r="X55" s="99">
        <f t="shared" ca="1" si="72"/>
        <v>429.16666666666652</v>
      </c>
      <c r="Y55" s="99">
        <f t="shared" ca="1" si="72"/>
        <v>429.16666666666652</v>
      </c>
      <c r="Z55" s="99">
        <f t="shared" ca="1" si="72"/>
        <v>429.16666666666652</v>
      </c>
      <c r="AA55" s="99">
        <f t="shared" ca="1" si="72"/>
        <v>429.16666666666697</v>
      </c>
      <c r="AB55" s="99">
        <f t="shared" ca="1" si="72"/>
        <v>429.16666666666606</v>
      </c>
      <c r="AC55" s="99">
        <f t="shared" ca="1" si="72"/>
        <v>429.16666666666697</v>
      </c>
      <c r="AD55" s="99">
        <f t="shared" ca="1" si="72"/>
        <v>429.16666666666697</v>
      </c>
      <c r="AE55" s="100">
        <f ca="1">SUM(S55:AD55)</f>
        <v>4912.4999999999991</v>
      </c>
      <c r="AF55" s="100">
        <f ca="1">AF193-AE193</f>
        <v>7266.6666666666661</v>
      </c>
      <c r="AG55" s="100">
        <f ca="1">AG193-AF193</f>
        <v>9433.3333333333358</v>
      </c>
      <c r="AH55" s="100">
        <f ca="1">AH193-AG193</f>
        <v>8133.3333333333321</v>
      </c>
      <c r="AI55" s="304" t="s">
        <v>321</v>
      </c>
    </row>
    <row r="56" spans="1:35">
      <c r="A56" s="96"/>
      <c r="B56" s="97" t="str">
        <f>"Issuance of "&amp;B218</f>
        <v>Issuance of Preferred Stock</v>
      </c>
      <c r="C56" s="98"/>
      <c r="D56" s="98"/>
      <c r="E56" s="98"/>
      <c r="F56" s="99">
        <f>IF(F218-E218&gt;0,F218-E218,0)</f>
        <v>0</v>
      </c>
      <c r="G56" s="99">
        <f t="shared" ref="G56:V57" si="73">IF(G218-F218&gt;0,G218-F218,0)</f>
        <v>0</v>
      </c>
      <c r="H56" s="99">
        <f t="shared" si="73"/>
        <v>0</v>
      </c>
      <c r="I56" s="99">
        <f t="shared" si="73"/>
        <v>150000</v>
      </c>
      <c r="J56" s="99">
        <f t="shared" si="73"/>
        <v>0</v>
      </c>
      <c r="K56" s="99">
        <f t="shared" si="73"/>
        <v>0</v>
      </c>
      <c r="L56" s="99">
        <f t="shared" si="73"/>
        <v>0</v>
      </c>
      <c r="M56" s="99">
        <f t="shared" si="73"/>
        <v>0</v>
      </c>
      <c r="N56" s="99">
        <f t="shared" si="73"/>
        <v>0</v>
      </c>
      <c r="O56" s="99">
        <f t="shared" si="73"/>
        <v>0</v>
      </c>
      <c r="P56" s="99">
        <f t="shared" si="73"/>
        <v>0</v>
      </c>
      <c r="Q56" s="99">
        <f t="shared" si="73"/>
        <v>0</v>
      </c>
      <c r="R56" s="100">
        <f>SUM(F56:Q56)</f>
        <v>150000</v>
      </c>
      <c r="S56" s="99">
        <f t="shared" si="73"/>
        <v>800000</v>
      </c>
      <c r="T56" s="99">
        <f t="shared" si="73"/>
        <v>0</v>
      </c>
      <c r="U56" s="99">
        <f t="shared" si="73"/>
        <v>0</v>
      </c>
      <c r="V56" s="99">
        <f t="shared" si="73"/>
        <v>0</v>
      </c>
      <c r="W56" s="99">
        <f t="shared" ref="W56:AH57" si="74">IF(W218-V218&gt;0,W218-V218,0)</f>
        <v>0</v>
      </c>
      <c r="X56" s="99">
        <f t="shared" si="74"/>
        <v>0</v>
      </c>
      <c r="Y56" s="99">
        <f t="shared" si="74"/>
        <v>0</v>
      </c>
      <c r="Z56" s="99">
        <f t="shared" si="74"/>
        <v>0</v>
      </c>
      <c r="AA56" s="99">
        <f t="shared" si="74"/>
        <v>0</v>
      </c>
      <c r="AB56" s="99">
        <f t="shared" si="74"/>
        <v>0</v>
      </c>
      <c r="AC56" s="99">
        <f t="shared" si="74"/>
        <v>0</v>
      </c>
      <c r="AD56" s="99">
        <f t="shared" si="74"/>
        <v>0</v>
      </c>
      <c r="AE56" s="100">
        <f>SUM(S56:AD56)</f>
        <v>800000</v>
      </c>
      <c r="AF56" s="100">
        <f t="shared" si="74"/>
        <v>0</v>
      </c>
      <c r="AG56" s="100">
        <f t="shared" si="74"/>
        <v>0</v>
      </c>
      <c r="AH56" s="100">
        <f t="shared" si="74"/>
        <v>0</v>
      </c>
      <c r="AI56" s="304" t="s">
        <v>321</v>
      </c>
    </row>
    <row r="57" spans="1:35">
      <c r="A57" s="96"/>
      <c r="B57" s="97" t="str">
        <f>"Issuance of "&amp;B219</f>
        <v>Issuance of Common Stock</v>
      </c>
      <c r="C57" s="98"/>
      <c r="D57" s="98"/>
      <c r="E57" s="98"/>
      <c r="F57" s="99">
        <f>IF(F219-E219&gt;0,F219-E219,0)</f>
        <v>0</v>
      </c>
      <c r="G57" s="99">
        <f t="shared" si="73"/>
        <v>0</v>
      </c>
      <c r="H57" s="99">
        <f t="shared" si="73"/>
        <v>0</v>
      </c>
      <c r="I57" s="99">
        <f t="shared" si="73"/>
        <v>0</v>
      </c>
      <c r="J57" s="99">
        <f t="shared" si="73"/>
        <v>0</v>
      </c>
      <c r="K57" s="99">
        <f t="shared" si="73"/>
        <v>0</v>
      </c>
      <c r="L57" s="99">
        <f t="shared" si="73"/>
        <v>0</v>
      </c>
      <c r="M57" s="99">
        <f t="shared" si="73"/>
        <v>0</v>
      </c>
      <c r="N57" s="99">
        <f t="shared" si="73"/>
        <v>0</v>
      </c>
      <c r="O57" s="99">
        <f t="shared" si="73"/>
        <v>0</v>
      </c>
      <c r="P57" s="99">
        <f t="shared" si="73"/>
        <v>0</v>
      </c>
      <c r="Q57" s="99">
        <f t="shared" si="73"/>
        <v>0</v>
      </c>
      <c r="R57" s="100">
        <f>SUM(F57:Q57)</f>
        <v>0</v>
      </c>
      <c r="S57" s="99">
        <f t="shared" si="73"/>
        <v>0</v>
      </c>
      <c r="T57" s="99">
        <f t="shared" si="73"/>
        <v>0</v>
      </c>
      <c r="U57" s="99">
        <f t="shared" si="73"/>
        <v>0</v>
      </c>
      <c r="V57" s="99">
        <f t="shared" si="73"/>
        <v>0</v>
      </c>
      <c r="W57" s="99">
        <f t="shared" si="74"/>
        <v>0</v>
      </c>
      <c r="X57" s="99">
        <f t="shared" si="74"/>
        <v>0</v>
      </c>
      <c r="Y57" s="99">
        <f t="shared" si="74"/>
        <v>0</v>
      </c>
      <c r="Z57" s="99">
        <f t="shared" si="74"/>
        <v>0</v>
      </c>
      <c r="AA57" s="99">
        <f t="shared" si="74"/>
        <v>0</v>
      </c>
      <c r="AB57" s="99">
        <f t="shared" si="74"/>
        <v>0</v>
      </c>
      <c r="AC57" s="99">
        <f t="shared" si="74"/>
        <v>0</v>
      </c>
      <c r="AD57" s="99">
        <f t="shared" si="74"/>
        <v>0</v>
      </c>
      <c r="AE57" s="100">
        <f>SUM(S57:AD57)</f>
        <v>0</v>
      </c>
      <c r="AF57" s="100">
        <f t="shared" si="74"/>
        <v>0</v>
      </c>
      <c r="AG57" s="100">
        <f t="shared" si="74"/>
        <v>0</v>
      </c>
      <c r="AH57" s="100">
        <f t="shared" si="74"/>
        <v>0</v>
      </c>
      <c r="AI57" s="304" t="s">
        <v>321</v>
      </c>
    </row>
    <row r="58" spans="1:35">
      <c r="A58" s="96" t="s">
        <v>173</v>
      </c>
      <c r="B58" s="97"/>
      <c r="C58" s="98"/>
      <c r="D58" s="98"/>
      <c r="E58" s="98"/>
      <c r="F58" s="99"/>
      <c r="G58" s="99"/>
      <c r="H58" s="99"/>
      <c r="I58" s="99"/>
      <c r="J58" s="99"/>
      <c r="K58" s="99"/>
      <c r="L58" s="99"/>
      <c r="M58" s="99"/>
      <c r="N58" s="99"/>
      <c r="O58" s="99"/>
      <c r="P58" s="99"/>
      <c r="Q58" s="99"/>
      <c r="R58" s="100"/>
      <c r="S58" s="99"/>
      <c r="T58" s="99"/>
      <c r="U58" s="99"/>
      <c r="V58" s="99"/>
      <c r="W58" s="99"/>
      <c r="X58" s="99"/>
      <c r="Y58" s="99"/>
      <c r="Z58" s="99"/>
      <c r="AA58" s="99"/>
      <c r="AB58" s="99"/>
      <c r="AC58" s="99"/>
      <c r="AD58" s="99"/>
      <c r="AE58" s="100"/>
      <c r="AF58" s="100"/>
      <c r="AG58" s="100"/>
      <c r="AH58" s="100"/>
      <c r="AI58" s="304" t="s">
        <v>321</v>
      </c>
    </row>
    <row r="59" spans="1:35">
      <c r="A59" s="96"/>
      <c r="B59" s="97" t="str">
        <f>B202</f>
        <v>Accounts Payable (30 days)</v>
      </c>
      <c r="C59" s="98"/>
      <c r="D59" s="98"/>
      <c r="E59" s="98"/>
      <c r="F59" s="99">
        <f t="shared" ref="F59:Q59" si="75">F202-E202</f>
        <v>3030</v>
      </c>
      <c r="G59" s="99">
        <f t="shared" si="75"/>
        <v>0</v>
      </c>
      <c r="H59" s="99">
        <f t="shared" si="75"/>
        <v>5000</v>
      </c>
      <c r="I59" s="99">
        <f t="shared" si="75"/>
        <v>2868.17</v>
      </c>
      <c r="J59" s="99">
        <f t="shared" si="75"/>
        <v>6434.090000000002</v>
      </c>
      <c r="K59" s="99">
        <f t="shared" si="75"/>
        <v>3894.0799999999981</v>
      </c>
      <c r="L59" s="99">
        <f t="shared" si="75"/>
        <v>6434.09</v>
      </c>
      <c r="M59" s="99">
        <f t="shared" si="75"/>
        <v>15774.939999999995</v>
      </c>
      <c r="N59" s="99">
        <f t="shared" si="75"/>
        <v>1434.0800000000017</v>
      </c>
      <c r="O59" s="99">
        <f t="shared" si="75"/>
        <v>11434.090000000004</v>
      </c>
      <c r="P59" s="99">
        <f t="shared" si="75"/>
        <v>45813.54</v>
      </c>
      <c r="Q59" s="99">
        <f t="shared" si="75"/>
        <v>-14263.660000000003</v>
      </c>
      <c r="R59" s="100">
        <f t="shared" ref="R59:R65" si="76">SUM(F59:Q59)</f>
        <v>87853.42</v>
      </c>
      <c r="S59" s="99">
        <f>S202-Q202</f>
        <v>57262.076666666646</v>
      </c>
      <c r="T59" s="99">
        <f t="shared" ref="T59:AD59" si="77">T202-S202</f>
        <v>19733.99000000002</v>
      </c>
      <c r="U59" s="99">
        <f t="shared" si="77"/>
        <v>4524.6700000000128</v>
      </c>
      <c r="V59" s="99">
        <f t="shared" si="77"/>
        <v>19898.039999999979</v>
      </c>
      <c r="W59" s="99">
        <f t="shared" si="77"/>
        <v>23480.649999999994</v>
      </c>
      <c r="X59" s="99">
        <f t="shared" si="77"/>
        <v>27707.130000000005</v>
      </c>
      <c r="Y59" s="99">
        <f t="shared" si="77"/>
        <v>49417.569999999978</v>
      </c>
      <c r="Z59" s="99">
        <f t="shared" si="77"/>
        <v>15669.030000000028</v>
      </c>
      <c r="AA59" s="99">
        <f t="shared" si="77"/>
        <v>44410.119999999995</v>
      </c>
      <c r="AB59" s="99">
        <f t="shared" si="77"/>
        <v>32331.630000000005</v>
      </c>
      <c r="AC59" s="99">
        <f t="shared" si="77"/>
        <v>90645.969999999972</v>
      </c>
      <c r="AD59" s="99">
        <f t="shared" si="77"/>
        <v>-1980.1499999999651</v>
      </c>
      <c r="AE59" s="100">
        <f t="shared" ref="AE59:AE65" si="78">SUM(S59:AD59)</f>
        <v>383100.72666666663</v>
      </c>
      <c r="AF59" s="100">
        <f>AF202-AE202</f>
        <v>134340.28625000006</v>
      </c>
      <c r="AG59" s="100">
        <f>AG202-AF202</f>
        <v>201406.38633333333</v>
      </c>
      <c r="AH59" s="100">
        <f>AH202-AG202</f>
        <v>295516.9702499999</v>
      </c>
      <c r="AI59" s="304" t="s">
        <v>321</v>
      </c>
    </row>
    <row r="60" spans="1:35">
      <c r="A60" s="96"/>
      <c r="B60" s="97" t="str">
        <f>B203</f>
        <v>Salaries Payable (15 days)</v>
      </c>
      <c r="C60" s="98"/>
      <c r="D60" s="98"/>
      <c r="E60" s="98"/>
      <c r="F60" s="99">
        <f t="shared" ref="F60:Q61" si="79">F203-E203</f>
        <v>0</v>
      </c>
      <c r="G60" s="99">
        <f t="shared" si="79"/>
        <v>0</v>
      </c>
      <c r="H60" s="99">
        <f t="shared" si="79"/>
        <v>0</v>
      </c>
      <c r="I60" s="99">
        <f t="shared" si="79"/>
        <v>0</v>
      </c>
      <c r="J60" s="99">
        <f t="shared" si="79"/>
        <v>0</v>
      </c>
      <c r="K60" s="99">
        <f t="shared" si="79"/>
        <v>6875</v>
      </c>
      <c r="L60" s="99">
        <f t="shared" si="79"/>
        <v>0</v>
      </c>
      <c r="M60" s="99">
        <f t="shared" si="79"/>
        <v>0</v>
      </c>
      <c r="N60" s="99">
        <f t="shared" si="79"/>
        <v>0</v>
      </c>
      <c r="O60" s="99">
        <f t="shared" si="79"/>
        <v>0</v>
      </c>
      <c r="P60" s="99">
        <f t="shared" si="79"/>
        <v>0</v>
      </c>
      <c r="Q60" s="99">
        <f t="shared" si="79"/>
        <v>0</v>
      </c>
      <c r="R60" s="100">
        <f t="shared" si="76"/>
        <v>6875</v>
      </c>
      <c r="S60" s="99">
        <f>S203-Q203</f>
        <v>9375</v>
      </c>
      <c r="T60" s="99">
        <f t="shared" ref="T60:AD61" si="80">T203-S203</f>
        <v>2166.6666666666679</v>
      </c>
      <c r="U60" s="99">
        <f t="shared" si="80"/>
        <v>2166.6666666666679</v>
      </c>
      <c r="V60" s="99">
        <f t="shared" si="80"/>
        <v>0</v>
      </c>
      <c r="W60" s="99">
        <f t="shared" si="80"/>
        <v>0</v>
      </c>
      <c r="X60" s="99">
        <f t="shared" si="80"/>
        <v>0</v>
      </c>
      <c r="Y60" s="99">
        <f t="shared" si="80"/>
        <v>0</v>
      </c>
      <c r="Z60" s="99">
        <f t="shared" si="80"/>
        <v>0</v>
      </c>
      <c r="AA60" s="99">
        <f t="shared" si="80"/>
        <v>0</v>
      </c>
      <c r="AB60" s="99">
        <f t="shared" si="80"/>
        <v>0</v>
      </c>
      <c r="AC60" s="99">
        <f t="shared" si="80"/>
        <v>0</v>
      </c>
      <c r="AD60" s="99">
        <f t="shared" si="80"/>
        <v>0</v>
      </c>
      <c r="AE60" s="100">
        <f t="shared" si="78"/>
        <v>13708.333333333336</v>
      </c>
      <c r="AF60" s="100">
        <f t="shared" ref="AF60:AH61" si="81">AF203-AE203</f>
        <v>8034.0000000000036</v>
      </c>
      <c r="AG60" s="100">
        <f t="shared" si="81"/>
        <v>15439.84</v>
      </c>
      <c r="AH60" s="100">
        <f t="shared" si="81"/>
        <v>6636.6975999999922</v>
      </c>
      <c r="AI60" s="304" t="s">
        <v>321</v>
      </c>
    </row>
    <row r="61" spans="1:35">
      <c r="A61" s="96"/>
      <c r="B61" s="97" t="str">
        <f>B204</f>
        <v>Taxes Payable (90 days)</v>
      </c>
      <c r="C61" s="98"/>
      <c r="D61" s="98"/>
      <c r="E61" s="98"/>
      <c r="F61" s="99">
        <f t="shared" ca="1" si="79"/>
        <v>0</v>
      </c>
      <c r="G61" s="99">
        <f t="shared" ca="1" si="79"/>
        <v>0</v>
      </c>
      <c r="H61" s="99">
        <f t="shared" ca="1" si="79"/>
        <v>0</v>
      </c>
      <c r="I61" s="99">
        <f t="shared" ca="1" si="79"/>
        <v>0</v>
      </c>
      <c r="J61" s="99">
        <f t="shared" ca="1" si="79"/>
        <v>0</v>
      </c>
      <c r="K61" s="99">
        <f t="shared" ca="1" si="79"/>
        <v>0</v>
      </c>
      <c r="L61" s="99">
        <f t="shared" ca="1" si="79"/>
        <v>0</v>
      </c>
      <c r="M61" s="99">
        <f t="shared" ca="1" si="79"/>
        <v>0</v>
      </c>
      <c r="N61" s="99">
        <f t="shared" ca="1" si="79"/>
        <v>0</v>
      </c>
      <c r="O61" s="99">
        <f t="shared" ca="1" si="79"/>
        <v>0</v>
      </c>
      <c r="P61" s="99">
        <f t="shared" ca="1" si="79"/>
        <v>0</v>
      </c>
      <c r="Q61" s="99">
        <f t="shared" ca="1" si="79"/>
        <v>0</v>
      </c>
      <c r="R61" s="100">
        <f t="shared" ca="1" si="76"/>
        <v>0</v>
      </c>
      <c r="S61" s="99">
        <f ca="1">S204-Q204</f>
        <v>0</v>
      </c>
      <c r="T61" s="99">
        <f t="shared" ca="1" si="80"/>
        <v>0</v>
      </c>
      <c r="U61" s="99">
        <f t="shared" ca="1" si="80"/>
        <v>0</v>
      </c>
      <c r="V61" s="99">
        <f t="shared" ca="1" si="80"/>
        <v>0</v>
      </c>
      <c r="W61" s="99">
        <f t="shared" ca="1" si="80"/>
        <v>0</v>
      </c>
      <c r="X61" s="99">
        <f t="shared" ca="1" si="80"/>
        <v>0</v>
      </c>
      <c r="Y61" s="99">
        <f t="shared" ca="1" si="80"/>
        <v>0</v>
      </c>
      <c r="Z61" s="99">
        <f t="shared" ca="1" si="80"/>
        <v>0</v>
      </c>
      <c r="AA61" s="99">
        <f t="shared" ca="1" si="80"/>
        <v>0</v>
      </c>
      <c r="AB61" s="99">
        <f t="shared" ca="1" si="80"/>
        <v>0</v>
      </c>
      <c r="AC61" s="99">
        <f t="shared" ca="1" si="80"/>
        <v>0</v>
      </c>
      <c r="AD61" s="99">
        <f t="shared" ca="1" si="80"/>
        <v>0</v>
      </c>
      <c r="AE61" s="100">
        <f t="shared" ca="1" si="78"/>
        <v>0</v>
      </c>
      <c r="AF61" s="100">
        <f t="shared" ca="1" si="81"/>
        <v>153659.15316666669</v>
      </c>
      <c r="AG61" s="100">
        <f t="shared" ca="1" si="81"/>
        <v>181005.85359999997</v>
      </c>
      <c r="AH61" s="100">
        <f t="shared" ca="1" si="81"/>
        <v>72416.621300000174</v>
      </c>
      <c r="AI61" s="304" t="s">
        <v>321</v>
      </c>
    </row>
    <row r="62" spans="1:35">
      <c r="A62" s="96"/>
      <c r="B62" s="97" t="s">
        <v>174</v>
      </c>
      <c r="C62" s="98"/>
      <c r="D62" s="98"/>
      <c r="E62" s="98"/>
      <c r="F62" s="99">
        <f ca="1">IF(F205-E205&gt;0,F205-E205,0)</f>
        <v>0</v>
      </c>
      <c r="G62" s="99">
        <f t="shared" ref="G62:Q62" ca="1" si="82">IF(G205-F205&gt;0,G205-F205,0)</f>
        <v>0</v>
      </c>
      <c r="H62" s="99">
        <f t="shared" ca="1" si="82"/>
        <v>0</v>
      </c>
      <c r="I62" s="99">
        <f t="shared" ca="1" si="82"/>
        <v>0</v>
      </c>
      <c r="J62" s="99">
        <f t="shared" ca="1" si="82"/>
        <v>0</v>
      </c>
      <c r="K62" s="99">
        <f t="shared" ca="1" si="82"/>
        <v>0</v>
      </c>
      <c r="L62" s="99">
        <f t="shared" ca="1" si="82"/>
        <v>0</v>
      </c>
      <c r="M62" s="99">
        <f t="shared" ca="1" si="82"/>
        <v>0</v>
      </c>
      <c r="N62" s="99">
        <f t="shared" ca="1" si="82"/>
        <v>0</v>
      </c>
      <c r="O62" s="99">
        <f t="shared" ca="1" si="82"/>
        <v>0</v>
      </c>
      <c r="P62" s="99">
        <f t="shared" ca="1" si="82"/>
        <v>0</v>
      </c>
      <c r="Q62" s="99">
        <f t="shared" ca="1" si="82"/>
        <v>0</v>
      </c>
      <c r="R62" s="100">
        <f t="shared" ca="1" si="76"/>
        <v>0</v>
      </c>
      <c r="S62" s="99">
        <f ca="1">IF(S205-R205&gt;0,S205-R205,0)</f>
        <v>0</v>
      </c>
      <c r="T62" s="99">
        <f t="shared" ref="T62:AD62" ca="1" si="83">IF(T205-S205&gt;0,T205-S205,0)</f>
        <v>0</v>
      </c>
      <c r="U62" s="99">
        <f t="shared" ca="1" si="83"/>
        <v>0</v>
      </c>
      <c r="V62" s="99">
        <f t="shared" ca="1" si="83"/>
        <v>0</v>
      </c>
      <c r="W62" s="99">
        <f t="shared" ca="1" si="83"/>
        <v>0</v>
      </c>
      <c r="X62" s="99">
        <f t="shared" ca="1" si="83"/>
        <v>0</v>
      </c>
      <c r="Y62" s="99">
        <f t="shared" ca="1" si="83"/>
        <v>0</v>
      </c>
      <c r="Z62" s="99">
        <f t="shared" ca="1" si="83"/>
        <v>0</v>
      </c>
      <c r="AA62" s="99">
        <f t="shared" ca="1" si="83"/>
        <v>0</v>
      </c>
      <c r="AB62" s="99">
        <f t="shared" ca="1" si="83"/>
        <v>0</v>
      </c>
      <c r="AC62" s="99">
        <f t="shared" ca="1" si="83"/>
        <v>0</v>
      </c>
      <c r="AD62" s="99">
        <f t="shared" ca="1" si="83"/>
        <v>0</v>
      </c>
      <c r="AE62" s="100">
        <f t="shared" ca="1" si="78"/>
        <v>0</v>
      </c>
      <c r="AF62" s="100">
        <f ca="1">IF(AF205-AE205&gt;0,AF205-AE205,0)</f>
        <v>0</v>
      </c>
      <c r="AG62" s="100">
        <f>IF(AG205-AF205&gt;0,AG205-AF205,0)</f>
        <v>0</v>
      </c>
      <c r="AH62" s="100">
        <f>IF(AH205-AG205&gt;0,AH205-AG205,0)</f>
        <v>0</v>
      </c>
      <c r="AI62" s="304" t="s">
        <v>321</v>
      </c>
    </row>
    <row r="63" spans="1:35">
      <c r="A63" s="96"/>
      <c r="B63" s="97" t="s">
        <v>175</v>
      </c>
      <c r="C63" s="98"/>
      <c r="D63" s="98"/>
      <c r="E63" s="98"/>
      <c r="F63" s="70">
        <f>IF(F206+F211-E206-E211&gt;0,F206+F211-E206-E211,0)</f>
        <v>0</v>
      </c>
      <c r="G63" s="70">
        <f t="shared" ref="G63:V63" si="84">IF(G206+G211-F206-F211&gt;0,G206+G211-F206-F211,0)</f>
        <v>0</v>
      </c>
      <c r="H63" s="70">
        <f t="shared" si="84"/>
        <v>0</v>
      </c>
      <c r="I63" s="70">
        <f t="shared" si="84"/>
        <v>0</v>
      </c>
      <c r="J63" s="70">
        <f t="shared" si="84"/>
        <v>0</v>
      </c>
      <c r="K63" s="70">
        <f t="shared" si="84"/>
        <v>0</v>
      </c>
      <c r="L63" s="70">
        <f t="shared" si="84"/>
        <v>0</v>
      </c>
      <c r="M63" s="70">
        <f t="shared" si="84"/>
        <v>0</v>
      </c>
      <c r="N63" s="70">
        <f t="shared" si="84"/>
        <v>0</v>
      </c>
      <c r="O63" s="70">
        <f t="shared" si="84"/>
        <v>0</v>
      </c>
      <c r="P63" s="70">
        <f t="shared" si="84"/>
        <v>0</v>
      </c>
      <c r="Q63" s="70">
        <f t="shared" si="84"/>
        <v>0</v>
      </c>
      <c r="R63" s="68">
        <f t="shared" si="76"/>
        <v>0</v>
      </c>
      <c r="S63" s="70">
        <f t="shared" ca="1" si="84"/>
        <v>0</v>
      </c>
      <c r="T63" s="70">
        <f t="shared" ca="1" si="84"/>
        <v>0</v>
      </c>
      <c r="U63" s="70">
        <f t="shared" ca="1" si="84"/>
        <v>0</v>
      </c>
      <c r="V63" s="70">
        <f t="shared" ca="1" si="84"/>
        <v>0</v>
      </c>
      <c r="W63" s="70">
        <f t="shared" ref="W63:AH63" ca="1" si="85">IF(W206+W211-V206-V211&gt;0,W206+W211-V206-V211,0)</f>
        <v>0</v>
      </c>
      <c r="X63" s="70">
        <f t="shared" ca="1" si="85"/>
        <v>0</v>
      </c>
      <c r="Y63" s="70">
        <f t="shared" ca="1" si="85"/>
        <v>0</v>
      </c>
      <c r="Z63" s="70">
        <f t="shared" ca="1" si="85"/>
        <v>0</v>
      </c>
      <c r="AA63" s="70">
        <f t="shared" ca="1" si="85"/>
        <v>0</v>
      </c>
      <c r="AB63" s="70">
        <f t="shared" ca="1" si="85"/>
        <v>0</v>
      </c>
      <c r="AC63" s="70">
        <f t="shared" ca="1" si="85"/>
        <v>0</v>
      </c>
      <c r="AD63" s="70">
        <f t="shared" ca="1" si="85"/>
        <v>0</v>
      </c>
      <c r="AE63" s="68">
        <f t="shared" ca="1" si="78"/>
        <v>0</v>
      </c>
      <c r="AF63" s="109">
        <f t="shared" ca="1" si="85"/>
        <v>0</v>
      </c>
      <c r="AG63" s="109">
        <f t="shared" ca="1" si="85"/>
        <v>0</v>
      </c>
      <c r="AH63" s="109">
        <f t="shared" ca="1" si="85"/>
        <v>0</v>
      </c>
      <c r="AI63" s="304" t="s">
        <v>321</v>
      </c>
    </row>
    <row r="64" spans="1:35">
      <c r="A64" s="96"/>
      <c r="B64" s="97" t="s">
        <v>176</v>
      </c>
      <c r="C64" s="98"/>
      <c r="D64" s="98"/>
      <c r="E64" s="98"/>
      <c r="F64" s="70">
        <f>IF(F207+F212-E207-E212&gt;0,F207+F212-E207-E212,0)</f>
        <v>0</v>
      </c>
      <c r="G64" s="70">
        <f t="shared" ref="G64:V64" si="86">IF(G207+G212-F207-F212&gt;0,G207+G212-F207-F212,0)</f>
        <v>0</v>
      </c>
      <c r="H64" s="70">
        <f t="shared" si="86"/>
        <v>0</v>
      </c>
      <c r="I64" s="70">
        <f t="shared" si="86"/>
        <v>0</v>
      </c>
      <c r="J64" s="70">
        <f t="shared" si="86"/>
        <v>0</v>
      </c>
      <c r="K64" s="70">
        <f t="shared" si="86"/>
        <v>0</v>
      </c>
      <c r="L64" s="70">
        <f t="shared" si="86"/>
        <v>0</v>
      </c>
      <c r="M64" s="70">
        <f t="shared" si="86"/>
        <v>0</v>
      </c>
      <c r="N64" s="70">
        <f t="shared" si="86"/>
        <v>0</v>
      </c>
      <c r="O64" s="70">
        <f t="shared" si="86"/>
        <v>0</v>
      </c>
      <c r="P64" s="70">
        <f t="shared" si="86"/>
        <v>0</v>
      </c>
      <c r="Q64" s="70">
        <f t="shared" si="86"/>
        <v>0</v>
      </c>
      <c r="R64" s="68">
        <f t="shared" si="76"/>
        <v>0</v>
      </c>
      <c r="S64" s="70">
        <f t="shared" ca="1" si="86"/>
        <v>0</v>
      </c>
      <c r="T64" s="70">
        <f t="shared" ca="1" si="86"/>
        <v>0</v>
      </c>
      <c r="U64" s="70">
        <f t="shared" ca="1" si="86"/>
        <v>0</v>
      </c>
      <c r="V64" s="70">
        <f t="shared" ca="1" si="86"/>
        <v>0</v>
      </c>
      <c r="W64" s="70">
        <f t="shared" ref="W64:AH64" ca="1" si="87">IF(W207+W212-V207-V212&gt;0,W207+W212-V207-V212,0)</f>
        <v>0</v>
      </c>
      <c r="X64" s="70">
        <f t="shared" ca="1" si="87"/>
        <v>0</v>
      </c>
      <c r="Y64" s="70">
        <f t="shared" ca="1" si="87"/>
        <v>0</v>
      </c>
      <c r="Z64" s="70">
        <f t="shared" ca="1" si="87"/>
        <v>0</v>
      </c>
      <c r="AA64" s="70">
        <f t="shared" ca="1" si="87"/>
        <v>0</v>
      </c>
      <c r="AB64" s="70">
        <f t="shared" ca="1" si="87"/>
        <v>0</v>
      </c>
      <c r="AC64" s="70">
        <f t="shared" ca="1" si="87"/>
        <v>0</v>
      </c>
      <c r="AD64" s="70">
        <f t="shared" ca="1" si="87"/>
        <v>0</v>
      </c>
      <c r="AE64" s="68">
        <f t="shared" ca="1" si="78"/>
        <v>0</v>
      </c>
      <c r="AF64" s="109">
        <f t="shared" ca="1" si="87"/>
        <v>0</v>
      </c>
      <c r="AG64" s="109">
        <f t="shared" ca="1" si="87"/>
        <v>0</v>
      </c>
      <c r="AH64" s="109">
        <f t="shared" ca="1" si="87"/>
        <v>0</v>
      </c>
      <c r="AI64" s="304" t="s">
        <v>321</v>
      </c>
    </row>
    <row r="65" spans="1:35">
      <c r="A65" s="83" t="s">
        <v>177</v>
      </c>
      <c r="B65" s="102"/>
      <c r="C65" s="85"/>
      <c r="D65" s="85"/>
      <c r="E65" s="85"/>
      <c r="F65" s="103">
        <f t="shared" ref="F65:Q65" ca="1" si="88">SUM(F54:F64)</f>
        <v>-4404.166666666667</v>
      </c>
      <c r="G65" s="103">
        <f t="shared" ca="1" si="88"/>
        <v>-7434.166666666667</v>
      </c>
      <c r="H65" s="103">
        <f t="shared" ca="1" si="88"/>
        <v>-17434.166666666664</v>
      </c>
      <c r="I65" s="103">
        <f t="shared" ca="1" si="88"/>
        <v>132605.83333333334</v>
      </c>
      <c r="J65" s="103">
        <f t="shared" ca="1" si="88"/>
        <v>-7742.3366666666643</v>
      </c>
      <c r="K65" s="103">
        <f t="shared" ca="1" si="88"/>
        <v>-23318.926666666677</v>
      </c>
      <c r="L65" s="103">
        <f t="shared" ca="1" si="88"/>
        <v>-31568.006666666672</v>
      </c>
      <c r="M65" s="103">
        <f t="shared" ca="1" si="88"/>
        <v>-10282.096666666675</v>
      </c>
      <c r="N65" s="103">
        <f t="shared" ca="1" si="88"/>
        <v>-23537.036666666656</v>
      </c>
      <c r="O65" s="103">
        <f t="shared" ca="1" si="88"/>
        <v>-22451.116666666654</v>
      </c>
      <c r="P65" s="103">
        <f t="shared" ca="1" si="88"/>
        <v>11474.793333333335</v>
      </c>
      <c r="Q65" s="103">
        <f t="shared" ca="1" si="88"/>
        <v>-24258.746666666666</v>
      </c>
      <c r="R65" s="104">
        <f t="shared" ca="1" si="76"/>
        <v>-28350.139999999992</v>
      </c>
      <c r="S65" s="103">
        <f t="shared" ref="S65:AD65" ca="1" si="89">SUM(S54:S64)</f>
        <v>790936.41333333333</v>
      </c>
      <c r="T65" s="103">
        <f t="shared" ca="1" si="89"/>
        <v>-58440.743333333332</v>
      </c>
      <c r="U65" s="103">
        <f t="shared" ca="1" si="89"/>
        <v>-89227.895999999979</v>
      </c>
      <c r="V65" s="103">
        <f t="shared" ca="1" si="89"/>
        <v>-66107.632666666686</v>
      </c>
      <c r="W65" s="103">
        <f t="shared" ca="1" si="89"/>
        <v>-20828.488666666635</v>
      </c>
      <c r="X65" s="103">
        <f t="shared" ca="1" si="89"/>
        <v>-2799.6986666666526</v>
      </c>
      <c r="Y65" s="103">
        <f t="shared" ca="1" si="89"/>
        <v>18473.907333333347</v>
      </c>
      <c r="Z65" s="103">
        <f t="shared" ca="1" si="89"/>
        <v>26854.049333333365</v>
      </c>
      <c r="AA65" s="103">
        <f t="shared" ca="1" si="89"/>
        <v>79386.299333333358</v>
      </c>
      <c r="AB65" s="103">
        <f t="shared" ca="1" si="89"/>
        <v>115452.88333333335</v>
      </c>
      <c r="AC65" s="103">
        <f t="shared" ca="1" si="89"/>
        <v>178083.92533333349</v>
      </c>
      <c r="AD65" s="103">
        <f t="shared" ca="1" si="89"/>
        <v>199494.29133333344</v>
      </c>
      <c r="AE65" s="104">
        <f t="shared" ca="1" si="78"/>
        <v>1171277.3100000005</v>
      </c>
      <c r="AF65" s="104">
        <f ca="1">SUM(AF54:AF64)</f>
        <v>1530100.7517499996</v>
      </c>
      <c r="AG65" s="104">
        <f ca="1">SUM(AG54:AG64)</f>
        <v>2415275.4538666662</v>
      </c>
      <c r="AH65" s="104">
        <f ca="1">SUM(AH54:AH64)</f>
        <v>2825193.390883334</v>
      </c>
      <c r="AI65" s="304" t="s">
        <v>321</v>
      </c>
    </row>
    <row r="66" spans="1:35">
      <c r="A66" s="96"/>
      <c r="B66" s="97"/>
      <c r="C66" s="98"/>
      <c r="D66" s="98"/>
      <c r="E66" s="98"/>
      <c r="F66" s="99"/>
      <c r="G66" s="99"/>
      <c r="H66" s="99"/>
      <c r="I66" s="99"/>
      <c r="J66" s="99"/>
      <c r="K66" s="99"/>
      <c r="L66" s="99"/>
      <c r="M66" s="99"/>
      <c r="N66" s="99"/>
      <c r="O66" s="99"/>
      <c r="P66" s="99"/>
      <c r="Q66" s="99"/>
      <c r="R66" s="100"/>
      <c r="S66" s="99"/>
      <c r="T66" s="99"/>
      <c r="U66" s="99"/>
      <c r="V66" s="99"/>
      <c r="W66" s="99"/>
      <c r="X66" s="99"/>
      <c r="Y66" s="99"/>
      <c r="Z66" s="99"/>
      <c r="AA66" s="99"/>
      <c r="AB66" s="99"/>
      <c r="AC66" s="99"/>
      <c r="AD66" s="99"/>
      <c r="AE66" s="100"/>
      <c r="AF66" s="100"/>
      <c r="AG66" s="100"/>
      <c r="AH66" s="100"/>
      <c r="AI66" s="304" t="s">
        <v>321</v>
      </c>
    </row>
    <row r="67" spans="1:35">
      <c r="A67" s="96" t="s">
        <v>178</v>
      </c>
      <c r="B67" s="97"/>
      <c r="C67" s="98"/>
      <c r="D67" s="98"/>
      <c r="E67" s="98"/>
      <c r="F67" s="99"/>
      <c r="G67" s="99"/>
      <c r="H67" s="99"/>
      <c r="I67" s="99"/>
      <c r="J67" s="99"/>
      <c r="K67" s="99"/>
      <c r="L67" s="99"/>
      <c r="M67" s="99"/>
      <c r="N67" s="99"/>
      <c r="O67" s="99"/>
      <c r="P67" s="99"/>
      <c r="Q67" s="99"/>
      <c r="R67" s="100"/>
      <c r="S67" s="99"/>
      <c r="T67" s="99"/>
      <c r="U67" s="99"/>
      <c r="V67" s="99"/>
      <c r="W67" s="99"/>
      <c r="X67" s="99"/>
      <c r="Y67" s="99"/>
      <c r="Z67" s="99"/>
      <c r="AA67" s="99"/>
      <c r="AB67" s="99"/>
      <c r="AC67" s="99"/>
      <c r="AD67" s="99"/>
      <c r="AE67" s="100"/>
      <c r="AF67" s="100"/>
      <c r="AG67" s="100"/>
      <c r="AH67" s="100"/>
      <c r="AI67" s="304" t="s">
        <v>321</v>
      </c>
    </row>
    <row r="68" spans="1:35">
      <c r="A68" s="96"/>
      <c r="B68" s="97" t="s">
        <v>179</v>
      </c>
      <c r="C68" s="98"/>
      <c r="D68" s="98"/>
      <c r="E68" s="98"/>
      <c r="F68" s="99">
        <f>IF(F218-E218&lt;0,-(F218-E218),0)</f>
        <v>0</v>
      </c>
      <c r="G68" s="99">
        <f t="shared" ref="G68:Q69" si="90">IF(G218-F218&lt;0,-(G218-F218),0)</f>
        <v>0</v>
      </c>
      <c r="H68" s="99">
        <f t="shared" si="90"/>
        <v>0</v>
      </c>
      <c r="I68" s="99">
        <f t="shared" si="90"/>
        <v>0</v>
      </c>
      <c r="J68" s="99">
        <f t="shared" si="90"/>
        <v>0</v>
      </c>
      <c r="K68" s="99">
        <f t="shared" si="90"/>
        <v>0</v>
      </c>
      <c r="L68" s="99">
        <f t="shared" si="90"/>
        <v>0</v>
      </c>
      <c r="M68" s="99">
        <f t="shared" si="90"/>
        <v>0</v>
      </c>
      <c r="N68" s="99">
        <f t="shared" si="90"/>
        <v>0</v>
      </c>
      <c r="O68" s="99">
        <f t="shared" si="90"/>
        <v>0</v>
      </c>
      <c r="P68" s="99">
        <f t="shared" si="90"/>
        <v>0</v>
      </c>
      <c r="Q68" s="99">
        <f t="shared" si="90"/>
        <v>0</v>
      </c>
      <c r="R68" s="100">
        <f>SUM(F68:Q68)</f>
        <v>0</v>
      </c>
      <c r="S68" s="99">
        <f>IF(S218-R218&lt;0,-(S218-R218),0)</f>
        <v>0</v>
      </c>
      <c r="T68" s="99">
        <f t="shared" ref="T68:AD69" si="91">IF(T218-S218&lt;0,-(T218-S218),0)</f>
        <v>0</v>
      </c>
      <c r="U68" s="99">
        <f t="shared" si="91"/>
        <v>0</v>
      </c>
      <c r="V68" s="99">
        <f t="shared" si="91"/>
        <v>0</v>
      </c>
      <c r="W68" s="99">
        <f t="shared" si="91"/>
        <v>0</v>
      </c>
      <c r="X68" s="99">
        <f t="shared" si="91"/>
        <v>0</v>
      </c>
      <c r="Y68" s="99">
        <f t="shared" si="91"/>
        <v>0</v>
      </c>
      <c r="Z68" s="99">
        <f t="shared" si="91"/>
        <v>0</v>
      </c>
      <c r="AA68" s="99">
        <f t="shared" si="91"/>
        <v>0</v>
      </c>
      <c r="AB68" s="99">
        <f t="shared" si="91"/>
        <v>0</v>
      </c>
      <c r="AC68" s="99">
        <f t="shared" si="91"/>
        <v>0</v>
      </c>
      <c r="AD68" s="99">
        <f t="shared" si="91"/>
        <v>0</v>
      </c>
      <c r="AE68" s="100">
        <f>SUM(S68:AD68)</f>
        <v>0</v>
      </c>
      <c r="AF68" s="100">
        <f t="shared" ref="AF68:AH69" si="92">IF(AF218-AE218&lt;0,-(AF218-AE218),0)</f>
        <v>0</v>
      </c>
      <c r="AG68" s="100">
        <f t="shared" si="92"/>
        <v>0</v>
      </c>
      <c r="AH68" s="100">
        <f t="shared" si="92"/>
        <v>0</v>
      </c>
      <c r="AI68" s="304" t="s">
        <v>321</v>
      </c>
    </row>
    <row r="69" spans="1:35">
      <c r="A69" s="96"/>
      <c r="B69" s="97" t="s">
        <v>180</v>
      </c>
      <c r="C69" s="98"/>
      <c r="D69" s="98"/>
      <c r="E69" s="98"/>
      <c r="F69" s="99">
        <f>IF(F219-E219&lt;0,-(F219-E219),0)</f>
        <v>0</v>
      </c>
      <c r="G69" s="99">
        <f t="shared" si="90"/>
        <v>0</v>
      </c>
      <c r="H69" s="99">
        <f t="shared" si="90"/>
        <v>0</v>
      </c>
      <c r="I69" s="99">
        <f t="shared" si="90"/>
        <v>0</v>
      </c>
      <c r="J69" s="99">
        <f t="shared" si="90"/>
        <v>0</v>
      </c>
      <c r="K69" s="99">
        <f t="shared" si="90"/>
        <v>0</v>
      </c>
      <c r="L69" s="99">
        <f t="shared" si="90"/>
        <v>0</v>
      </c>
      <c r="M69" s="99">
        <f t="shared" si="90"/>
        <v>0</v>
      </c>
      <c r="N69" s="99">
        <f t="shared" si="90"/>
        <v>0</v>
      </c>
      <c r="O69" s="99">
        <f t="shared" si="90"/>
        <v>0</v>
      </c>
      <c r="P69" s="99">
        <f t="shared" si="90"/>
        <v>0</v>
      </c>
      <c r="Q69" s="99">
        <f t="shared" si="90"/>
        <v>0</v>
      </c>
      <c r="R69" s="100">
        <f>SUM(F69:Q69)</f>
        <v>0</v>
      </c>
      <c r="S69" s="99">
        <f>IF(S219-R219&lt;0,-(S219-R219),0)</f>
        <v>0</v>
      </c>
      <c r="T69" s="99">
        <f t="shared" si="91"/>
        <v>0</v>
      </c>
      <c r="U69" s="99">
        <f t="shared" si="91"/>
        <v>0</v>
      </c>
      <c r="V69" s="99">
        <f t="shared" si="91"/>
        <v>0</v>
      </c>
      <c r="W69" s="99">
        <f t="shared" si="91"/>
        <v>0</v>
      </c>
      <c r="X69" s="99">
        <f t="shared" si="91"/>
        <v>0</v>
      </c>
      <c r="Y69" s="99">
        <f t="shared" si="91"/>
        <v>0</v>
      </c>
      <c r="Z69" s="99">
        <f t="shared" si="91"/>
        <v>0</v>
      </c>
      <c r="AA69" s="99">
        <f t="shared" si="91"/>
        <v>0</v>
      </c>
      <c r="AB69" s="99">
        <f t="shared" si="91"/>
        <v>0</v>
      </c>
      <c r="AC69" s="99">
        <f t="shared" si="91"/>
        <v>0</v>
      </c>
      <c r="AD69" s="99">
        <f t="shared" si="91"/>
        <v>0</v>
      </c>
      <c r="AE69" s="100">
        <f>SUM(S69:AD69)</f>
        <v>0</v>
      </c>
      <c r="AF69" s="100">
        <f t="shared" si="92"/>
        <v>0</v>
      </c>
      <c r="AG69" s="100">
        <f t="shared" si="92"/>
        <v>0</v>
      </c>
      <c r="AH69" s="100">
        <f t="shared" si="92"/>
        <v>0</v>
      </c>
      <c r="AI69" s="304" t="s">
        <v>321</v>
      </c>
    </row>
    <row r="70" spans="1:35">
      <c r="A70" s="96" t="s">
        <v>181</v>
      </c>
      <c r="B70" s="97"/>
      <c r="C70" s="98"/>
      <c r="D70" s="98"/>
      <c r="E70" s="98"/>
      <c r="F70" s="99"/>
      <c r="G70" s="99"/>
      <c r="H70" s="99"/>
      <c r="I70" s="99"/>
      <c r="J70" s="99"/>
      <c r="K70" s="99"/>
      <c r="L70" s="99"/>
      <c r="M70" s="99"/>
      <c r="N70" s="99"/>
      <c r="O70" s="99"/>
      <c r="P70" s="99"/>
      <c r="Q70" s="99"/>
      <c r="R70" s="100"/>
      <c r="S70" s="99"/>
      <c r="T70" s="99"/>
      <c r="U70" s="99"/>
      <c r="V70" s="99"/>
      <c r="W70" s="99"/>
      <c r="X70" s="99"/>
      <c r="Y70" s="99"/>
      <c r="Z70" s="99"/>
      <c r="AA70" s="99"/>
      <c r="AB70" s="99"/>
      <c r="AC70" s="99"/>
      <c r="AD70" s="99"/>
      <c r="AE70" s="100"/>
      <c r="AF70" s="100"/>
      <c r="AG70" s="100"/>
      <c r="AH70" s="100"/>
      <c r="AI70" s="304" t="s">
        <v>321</v>
      </c>
    </row>
    <row r="71" spans="1:35">
      <c r="A71" s="96"/>
      <c r="B71" s="97" t="str">
        <f>B180</f>
        <v>Net Accounts Rec</v>
      </c>
      <c r="C71" s="98"/>
      <c r="D71" s="98"/>
      <c r="E71" s="98"/>
      <c r="F71" s="99">
        <f t="shared" ref="F71:Q71" ca="1" si="93">F180-E180</f>
        <v>0</v>
      </c>
      <c r="G71" s="99">
        <f t="shared" ca="1" si="93"/>
        <v>0</v>
      </c>
      <c r="H71" s="99">
        <f t="shared" ca="1" si="93"/>
        <v>0</v>
      </c>
      <c r="I71" s="99">
        <f t="shared" ca="1" si="93"/>
        <v>2572.5</v>
      </c>
      <c r="J71" s="99">
        <f t="shared" ca="1" si="93"/>
        <v>1286.25</v>
      </c>
      <c r="K71" s="99">
        <f t="shared" ca="1" si="93"/>
        <v>1286.25</v>
      </c>
      <c r="L71" s="99">
        <f t="shared" ca="1" si="93"/>
        <v>1286.25</v>
      </c>
      <c r="M71" s="99">
        <f t="shared" ca="1" si="93"/>
        <v>14148.75</v>
      </c>
      <c r="N71" s="99">
        <f t="shared" ca="1" si="93"/>
        <v>1286.25</v>
      </c>
      <c r="O71" s="99">
        <f t="shared" ca="1" si="93"/>
        <v>1286.25</v>
      </c>
      <c r="P71" s="99">
        <f t="shared" ca="1" si="93"/>
        <v>23152.5</v>
      </c>
      <c r="Q71" s="99">
        <f t="shared" ca="1" si="93"/>
        <v>5145</v>
      </c>
      <c r="R71" s="100">
        <f t="shared" ref="R71:R76" ca="1" si="94">SUM(F71:Q71)</f>
        <v>51450</v>
      </c>
      <c r="S71" s="99">
        <f ca="1">S180-Q180</f>
        <v>9261</v>
      </c>
      <c r="T71" s="99">
        <f t="shared" ref="T71:AD71" ca="1" si="95">T180-S180</f>
        <v>10927.979999999996</v>
      </c>
      <c r="U71" s="99">
        <f t="shared" ca="1" si="95"/>
        <v>12894.913499999995</v>
      </c>
      <c r="V71" s="99">
        <f t="shared" ca="1" si="95"/>
        <v>15216.337500000009</v>
      </c>
      <c r="W71" s="99">
        <f t="shared" ca="1" si="95"/>
        <v>17955.021000000008</v>
      </c>
      <c r="X71" s="99">
        <f t="shared" ca="1" si="95"/>
        <v>21187.109999999986</v>
      </c>
      <c r="Y71" s="99">
        <f t="shared" ca="1" si="95"/>
        <v>25000.584000000032</v>
      </c>
      <c r="Z71" s="99">
        <f t="shared" ca="1" si="95"/>
        <v>29500.915500000003</v>
      </c>
      <c r="AA71" s="99">
        <f t="shared" ca="1" si="95"/>
        <v>34811.069999999978</v>
      </c>
      <c r="AB71" s="99">
        <f t="shared" ca="1" si="95"/>
        <v>41076.651000000013</v>
      </c>
      <c r="AC71" s="99">
        <f t="shared" ca="1" si="95"/>
        <v>48470.530499999993</v>
      </c>
      <c r="AD71" s="99">
        <f t="shared" ca="1" si="95"/>
        <v>57195.421499999997</v>
      </c>
      <c r="AE71" s="100">
        <f t="shared" ref="AE71:AE76" ca="1" si="96">SUM(S71:AD71)</f>
        <v>323497.53450000001</v>
      </c>
      <c r="AF71" s="100">
        <f ca="1">AF180-AE180</f>
        <v>57377.811749999993</v>
      </c>
      <c r="AG71" s="100">
        <f>AG180-AF180</f>
        <v>194611.2971250001</v>
      </c>
      <c r="AH71" s="100">
        <f>AH180-AG180</f>
        <v>205654.13924999989</v>
      </c>
      <c r="AI71" s="304" t="s">
        <v>321</v>
      </c>
    </row>
    <row r="72" spans="1:35">
      <c r="A72" s="96"/>
      <c r="B72" s="97" t="s">
        <v>182</v>
      </c>
      <c r="C72" s="98"/>
      <c r="D72" s="98"/>
      <c r="E72" s="98"/>
      <c r="F72" s="99">
        <f t="shared" ref="F72:Q72" si="97">F187-E187</f>
        <v>2900</v>
      </c>
      <c r="G72" s="99">
        <f t="shared" si="97"/>
        <v>0</v>
      </c>
      <c r="H72" s="99">
        <f t="shared" si="97"/>
        <v>0</v>
      </c>
      <c r="I72" s="99">
        <f t="shared" si="97"/>
        <v>0</v>
      </c>
      <c r="J72" s="99">
        <f t="shared" si="97"/>
        <v>0</v>
      </c>
      <c r="K72" s="99">
        <f t="shared" si="97"/>
        <v>2425</v>
      </c>
      <c r="L72" s="99">
        <f t="shared" si="97"/>
        <v>0</v>
      </c>
      <c r="M72" s="99">
        <f t="shared" si="97"/>
        <v>0</v>
      </c>
      <c r="N72" s="99">
        <f t="shared" si="97"/>
        <v>0</v>
      </c>
      <c r="O72" s="99">
        <f t="shared" si="97"/>
        <v>0</v>
      </c>
      <c r="P72" s="99">
        <f t="shared" si="97"/>
        <v>0</v>
      </c>
      <c r="Q72" s="99">
        <f t="shared" si="97"/>
        <v>0</v>
      </c>
      <c r="R72" s="100">
        <f t="shared" si="94"/>
        <v>5325</v>
      </c>
      <c r="S72" s="99">
        <f>S187-Q187</f>
        <v>5325</v>
      </c>
      <c r="T72" s="99">
        <f t="shared" ref="T72:AD72" si="98">T187-S187</f>
        <v>2950</v>
      </c>
      <c r="U72" s="99">
        <f t="shared" si="98"/>
        <v>2950</v>
      </c>
      <c r="V72" s="99">
        <f t="shared" si="98"/>
        <v>0</v>
      </c>
      <c r="W72" s="99">
        <f t="shared" si="98"/>
        <v>0</v>
      </c>
      <c r="X72" s="99">
        <f t="shared" si="98"/>
        <v>0</v>
      </c>
      <c r="Y72" s="99">
        <f t="shared" si="98"/>
        <v>0</v>
      </c>
      <c r="Z72" s="99">
        <f t="shared" si="98"/>
        <v>0</v>
      </c>
      <c r="AA72" s="99">
        <f t="shared" si="98"/>
        <v>0</v>
      </c>
      <c r="AB72" s="99">
        <f t="shared" si="98"/>
        <v>0</v>
      </c>
      <c r="AC72" s="99">
        <f t="shared" si="98"/>
        <v>0</v>
      </c>
      <c r="AD72" s="99">
        <f t="shared" si="98"/>
        <v>0</v>
      </c>
      <c r="AE72" s="100">
        <f t="shared" si="96"/>
        <v>11225</v>
      </c>
      <c r="AF72" s="100">
        <f>AF187-AE187</f>
        <v>6850</v>
      </c>
      <c r="AG72" s="100">
        <f>AG187-AF187</f>
        <v>11700</v>
      </c>
      <c r="AH72" s="100">
        <f>AH187-AG187</f>
        <v>5900</v>
      </c>
      <c r="AI72" s="304" t="s">
        <v>321</v>
      </c>
    </row>
    <row r="73" spans="1:35">
      <c r="A73" s="96"/>
      <c r="B73" s="97" t="s">
        <v>183</v>
      </c>
      <c r="C73" s="98"/>
      <c r="D73" s="98"/>
      <c r="E73" s="98"/>
      <c r="F73" s="99">
        <f ca="1">IF(F205-E205&lt;0,-(F205-E205),0)</f>
        <v>0</v>
      </c>
      <c r="G73" s="99">
        <f t="shared" ref="G73:Q73" ca="1" si="99">IF(G205-F205&lt;0,-(G205-F205),0)</f>
        <v>0</v>
      </c>
      <c r="H73" s="99">
        <f t="shared" ca="1" si="99"/>
        <v>0</v>
      </c>
      <c r="I73" s="99">
        <f t="shared" ca="1" si="99"/>
        <v>0</v>
      </c>
      <c r="J73" s="99">
        <f t="shared" ca="1" si="99"/>
        <v>0</v>
      </c>
      <c r="K73" s="99">
        <f t="shared" ca="1" si="99"/>
        <v>0</v>
      </c>
      <c r="L73" s="99">
        <f t="shared" ca="1" si="99"/>
        <v>0</v>
      </c>
      <c r="M73" s="99">
        <f t="shared" ca="1" si="99"/>
        <v>0</v>
      </c>
      <c r="N73" s="99">
        <f t="shared" ca="1" si="99"/>
        <v>0</v>
      </c>
      <c r="O73" s="99">
        <f t="shared" ca="1" si="99"/>
        <v>0</v>
      </c>
      <c r="P73" s="99">
        <f t="shared" ca="1" si="99"/>
        <v>0</v>
      </c>
      <c r="Q73" s="99">
        <f t="shared" ca="1" si="99"/>
        <v>0</v>
      </c>
      <c r="R73" s="100">
        <f t="shared" ca="1" si="94"/>
        <v>0</v>
      </c>
      <c r="S73" s="99">
        <f ca="1">IF(S205-R205&lt;0,-(S205-R205),0)</f>
        <v>0</v>
      </c>
      <c r="T73" s="99">
        <f t="shared" ref="T73:AD73" ca="1" si="100">IF(T205-S205&lt;0,-(T205-S205),0)</f>
        <v>0</v>
      </c>
      <c r="U73" s="99">
        <f t="shared" ca="1" si="100"/>
        <v>0</v>
      </c>
      <c r="V73" s="99">
        <f t="shared" ca="1" si="100"/>
        <v>0</v>
      </c>
      <c r="W73" s="99">
        <f t="shared" ca="1" si="100"/>
        <v>0</v>
      </c>
      <c r="X73" s="99">
        <f t="shared" ca="1" si="100"/>
        <v>0</v>
      </c>
      <c r="Y73" s="99">
        <f t="shared" ca="1" si="100"/>
        <v>0</v>
      </c>
      <c r="Z73" s="99">
        <f t="shared" ca="1" si="100"/>
        <v>0</v>
      </c>
      <c r="AA73" s="99">
        <f t="shared" ca="1" si="100"/>
        <v>0</v>
      </c>
      <c r="AB73" s="99">
        <f t="shared" ca="1" si="100"/>
        <v>0</v>
      </c>
      <c r="AC73" s="99">
        <f t="shared" ca="1" si="100"/>
        <v>0</v>
      </c>
      <c r="AD73" s="99">
        <f t="shared" ca="1" si="100"/>
        <v>0</v>
      </c>
      <c r="AE73" s="100">
        <f t="shared" ca="1" si="96"/>
        <v>0</v>
      </c>
      <c r="AF73" s="100">
        <f ca="1">IF(AF205-AE205&lt;0,-(AF205-AE205),0)</f>
        <v>0</v>
      </c>
      <c r="AG73" s="100">
        <f>IF(AG205-AF205&lt;0,-(AG205-AF205),0)</f>
        <v>0</v>
      </c>
      <c r="AH73" s="100">
        <f>IF(AH205-AG205&lt;0,-(AH205-AG205),0)</f>
        <v>0</v>
      </c>
      <c r="AI73" s="304" t="s">
        <v>321</v>
      </c>
    </row>
    <row r="74" spans="1:35">
      <c r="A74" s="96"/>
      <c r="B74" s="97" t="s">
        <v>184</v>
      </c>
      <c r="C74" s="98"/>
      <c r="D74" s="98"/>
      <c r="E74" s="98"/>
      <c r="F74" s="99">
        <f>IF(F206+F211-E206-E211&lt;0,-(F206+F211-E206-E211),0)</f>
        <v>0</v>
      </c>
      <c r="G74" s="99">
        <f t="shared" ref="G74:Q75" si="101">IF(G206+G211-F206-F211&lt;0,-(G206+G211-F206-F211),0)</f>
        <v>0</v>
      </c>
      <c r="H74" s="99">
        <f t="shared" si="101"/>
        <v>0</v>
      </c>
      <c r="I74" s="99">
        <f t="shared" si="101"/>
        <v>0</v>
      </c>
      <c r="J74" s="99">
        <f t="shared" si="101"/>
        <v>0</v>
      </c>
      <c r="K74" s="99">
        <f t="shared" si="101"/>
        <v>0</v>
      </c>
      <c r="L74" s="99">
        <f t="shared" si="101"/>
        <v>0</v>
      </c>
      <c r="M74" s="99">
        <f t="shared" si="101"/>
        <v>0</v>
      </c>
      <c r="N74" s="99">
        <f t="shared" si="101"/>
        <v>0</v>
      </c>
      <c r="O74" s="99">
        <f t="shared" si="101"/>
        <v>0</v>
      </c>
      <c r="P74" s="99">
        <f t="shared" si="101"/>
        <v>0</v>
      </c>
      <c r="Q74" s="99">
        <f t="shared" si="101"/>
        <v>0</v>
      </c>
      <c r="R74" s="100">
        <f t="shared" si="94"/>
        <v>0</v>
      </c>
      <c r="S74" s="99">
        <f ca="1">IF(S206+S211-R206-R211&lt;0,-(S206+S211-R206-R211),0)</f>
        <v>0</v>
      </c>
      <c r="T74" s="99">
        <f t="shared" ref="T74:AD75" ca="1" si="102">IF(T206+T211-S206-S211&lt;0,-(T206+T211-S206-S211),0)</f>
        <v>0</v>
      </c>
      <c r="U74" s="99">
        <f t="shared" ca="1" si="102"/>
        <v>0</v>
      </c>
      <c r="V74" s="99">
        <f t="shared" ca="1" si="102"/>
        <v>0</v>
      </c>
      <c r="W74" s="99">
        <f t="shared" ca="1" si="102"/>
        <v>0</v>
      </c>
      <c r="X74" s="99">
        <f t="shared" ca="1" si="102"/>
        <v>0</v>
      </c>
      <c r="Y74" s="99">
        <f t="shared" ca="1" si="102"/>
        <v>0</v>
      </c>
      <c r="Z74" s="99">
        <f t="shared" ca="1" si="102"/>
        <v>0</v>
      </c>
      <c r="AA74" s="99">
        <f t="shared" ca="1" si="102"/>
        <v>0</v>
      </c>
      <c r="AB74" s="99">
        <f t="shared" ca="1" si="102"/>
        <v>0</v>
      </c>
      <c r="AC74" s="99">
        <f t="shared" ca="1" si="102"/>
        <v>0</v>
      </c>
      <c r="AD74" s="99">
        <f t="shared" ca="1" si="102"/>
        <v>0</v>
      </c>
      <c r="AE74" s="100">
        <f t="shared" ca="1" si="96"/>
        <v>0</v>
      </c>
      <c r="AF74" s="100">
        <f t="shared" ref="AF74:AH75" ca="1" si="103">IF(AF206+AF211-AE206-AE211&lt;0,-(AF206+AF211-AE206-AE211),0)</f>
        <v>0</v>
      </c>
      <c r="AG74" s="100">
        <f t="shared" ca="1" si="103"/>
        <v>0</v>
      </c>
      <c r="AH74" s="100">
        <f t="shared" ca="1" si="103"/>
        <v>0</v>
      </c>
      <c r="AI74" s="304" t="s">
        <v>321</v>
      </c>
    </row>
    <row r="75" spans="1:35">
      <c r="A75" s="96"/>
      <c r="B75" s="97" t="s">
        <v>185</v>
      </c>
      <c r="C75" s="98"/>
      <c r="D75" s="98"/>
      <c r="E75" s="98"/>
      <c r="F75" s="99">
        <f>IF(F207+F212-E207-E212&lt;0,-(F207+F212-E207-E212),0)</f>
        <v>0</v>
      </c>
      <c r="G75" s="99">
        <f t="shared" si="101"/>
        <v>0</v>
      </c>
      <c r="H75" s="99">
        <f t="shared" si="101"/>
        <v>0</v>
      </c>
      <c r="I75" s="99">
        <f t="shared" si="101"/>
        <v>0</v>
      </c>
      <c r="J75" s="99">
        <f t="shared" si="101"/>
        <v>0</v>
      </c>
      <c r="K75" s="99">
        <f t="shared" si="101"/>
        <v>0</v>
      </c>
      <c r="L75" s="99">
        <f t="shared" si="101"/>
        <v>0</v>
      </c>
      <c r="M75" s="99">
        <f t="shared" si="101"/>
        <v>0</v>
      </c>
      <c r="N75" s="99">
        <f t="shared" si="101"/>
        <v>0</v>
      </c>
      <c r="O75" s="99">
        <f t="shared" si="101"/>
        <v>0</v>
      </c>
      <c r="P75" s="99">
        <f t="shared" si="101"/>
        <v>0</v>
      </c>
      <c r="Q75" s="99">
        <f t="shared" si="101"/>
        <v>0</v>
      </c>
      <c r="R75" s="100">
        <f t="shared" si="94"/>
        <v>0</v>
      </c>
      <c r="S75" s="99">
        <f ca="1">IF(S207+S212-R207-R212&lt;0,-(S207+S212-R207-R212),0)</f>
        <v>0</v>
      </c>
      <c r="T75" s="99">
        <f t="shared" ca="1" si="102"/>
        <v>0</v>
      </c>
      <c r="U75" s="99">
        <f t="shared" ca="1" si="102"/>
        <v>0</v>
      </c>
      <c r="V75" s="99">
        <f t="shared" ca="1" si="102"/>
        <v>0</v>
      </c>
      <c r="W75" s="99">
        <f t="shared" ca="1" si="102"/>
        <v>0</v>
      </c>
      <c r="X75" s="99">
        <f t="shared" ca="1" si="102"/>
        <v>0</v>
      </c>
      <c r="Y75" s="99">
        <f t="shared" ca="1" si="102"/>
        <v>0</v>
      </c>
      <c r="Z75" s="99">
        <f t="shared" ca="1" si="102"/>
        <v>0</v>
      </c>
      <c r="AA75" s="99">
        <f t="shared" ca="1" si="102"/>
        <v>0</v>
      </c>
      <c r="AB75" s="99">
        <f t="shared" ca="1" si="102"/>
        <v>0</v>
      </c>
      <c r="AC75" s="99">
        <f t="shared" ca="1" si="102"/>
        <v>0</v>
      </c>
      <c r="AD75" s="99">
        <f t="shared" ca="1" si="102"/>
        <v>0</v>
      </c>
      <c r="AE75" s="100">
        <f t="shared" ca="1" si="96"/>
        <v>0</v>
      </c>
      <c r="AF75" s="100">
        <f t="shared" ca="1" si="103"/>
        <v>0</v>
      </c>
      <c r="AG75" s="100">
        <f t="shared" ca="1" si="103"/>
        <v>0</v>
      </c>
      <c r="AH75" s="100">
        <f t="shared" ca="1" si="103"/>
        <v>0</v>
      </c>
      <c r="AI75" s="304" t="s">
        <v>321</v>
      </c>
    </row>
    <row r="76" spans="1:35">
      <c r="A76" s="83" t="s">
        <v>186</v>
      </c>
      <c r="B76" s="102"/>
      <c r="C76" s="85"/>
      <c r="D76" s="85"/>
      <c r="E76" s="85"/>
      <c r="F76" s="103">
        <f t="shared" ref="F76:Q76" ca="1" si="104">SUM(F71:F75)</f>
        <v>2900</v>
      </c>
      <c r="G76" s="103">
        <f t="shared" ca="1" si="104"/>
        <v>0</v>
      </c>
      <c r="H76" s="103">
        <f t="shared" ca="1" si="104"/>
        <v>0</v>
      </c>
      <c r="I76" s="103">
        <f t="shared" ca="1" si="104"/>
        <v>2572.5</v>
      </c>
      <c r="J76" s="103">
        <f t="shared" ca="1" si="104"/>
        <v>1286.25</v>
      </c>
      <c r="K76" s="103">
        <f t="shared" ca="1" si="104"/>
        <v>3711.25</v>
      </c>
      <c r="L76" s="103">
        <f t="shared" ca="1" si="104"/>
        <v>1286.25</v>
      </c>
      <c r="M76" s="103">
        <f t="shared" ca="1" si="104"/>
        <v>14148.75</v>
      </c>
      <c r="N76" s="103">
        <f t="shared" ca="1" si="104"/>
        <v>1286.25</v>
      </c>
      <c r="O76" s="103">
        <f t="shared" ca="1" si="104"/>
        <v>1286.25</v>
      </c>
      <c r="P76" s="103">
        <f t="shared" ca="1" si="104"/>
        <v>23152.5</v>
      </c>
      <c r="Q76" s="103">
        <f t="shared" ca="1" si="104"/>
        <v>5145</v>
      </c>
      <c r="R76" s="104">
        <f t="shared" ca="1" si="94"/>
        <v>56775</v>
      </c>
      <c r="S76" s="103">
        <f t="shared" ref="S76:AD76" ca="1" si="105">SUM(S71:S75)</f>
        <v>14586</v>
      </c>
      <c r="T76" s="103">
        <f t="shared" ca="1" si="105"/>
        <v>13877.979999999996</v>
      </c>
      <c r="U76" s="103">
        <f t="shared" ca="1" si="105"/>
        <v>15844.913499999995</v>
      </c>
      <c r="V76" s="103">
        <f t="shared" ca="1" si="105"/>
        <v>15216.337500000009</v>
      </c>
      <c r="W76" s="103">
        <f t="shared" ca="1" si="105"/>
        <v>17955.021000000008</v>
      </c>
      <c r="X76" s="103">
        <f t="shared" ca="1" si="105"/>
        <v>21187.109999999986</v>
      </c>
      <c r="Y76" s="103">
        <f t="shared" ca="1" si="105"/>
        <v>25000.584000000032</v>
      </c>
      <c r="Z76" s="103">
        <f t="shared" ca="1" si="105"/>
        <v>29500.915500000003</v>
      </c>
      <c r="AA76" s="103">
        <f t="shared" ca="1" si="105"/>
        <v>34811.069999999978</v>
      </c>
      <c r="AB76" s="103">
        <f t="shared" ca="1" si="105"/>
        <v>41076.651000000013</v>
      </c>
      <c r="AC76" s="103">
        <f t="shared" ca="1" si="105"/>
        <v>48470.530499999993</v>
      </c>
      <c r="AD76" s="103">
        <f t="shared" ca="1" si="105"/>
        <v>57195.421499999997</v>
      </c>
      <c r="AE76" s="104">
        <f t="shared" ca="1" si="96"/>
        <v>334722.53450000001</v>
      </c>
      <c r="AF76" s="104">
        <f ca="1">SUM(AF71:AF75)</f>
        <v>64227.811749999993</v>
      </c>
      <c r="AG76" s="104">
        <f ca="1">SUM(AG71:AG75)</f>
        <v>206311.2971250001</v>
      </c>
      <c r="AH76" s="104">
        <f ca="1">SUM(AH71:AH75)</f>
        <v>211554.13924999989</v>
      </c>
      <c r="AI76" s="304" t="s">
        <v>321</v>
      </c>
    </row>
    <row r="77" spans="1:35">
      <c r="A77" s="96"/>
      <c r="B77" s="97"/>
      <c r="C77" s="98"/>
      <c r="D77" s="98"/>
      <c r="E77" s="98"/>
      <c r="F77" s="99"/>
      <c r="G77" s="99"/>
      <c r="H77" s="99"/>
      <c r="I77" s="99"/>
      <c r="J77" s="99"/>
      <c r="K77" s="99"/>
      <c r="L77" s="99"/>
      <c r="M77" s="99"/>
      <c r="N77" s="99"/>
      <c r="O77" s="99"/>
      <c r="P77" s="99"/>
      <c r="Q77" s="99"/>
      <c r="R77" s="100"/>
      <c r="S77" s="99"/>
      <c r="T77" s="99"/>
      <c r="U77" s="99"/>
      <c r="V77" s="99"/>
      <c r="W77" s="99"/>
      <c r="X77" s="99"/>
      <c r="Y77" s="99"/>
      <c r="Z77" s="99"/>
      <c r="AA77" s="99"/>
      <c r="AB77" s="99"/>
      <c r="AC77" s="99"/>
      <c r="AD77" s="99"/>
      <c r="AE77" s="100"/>
      <c r="AF77" s="100"/>
      <c r="AG77" s="100"/>
      <c r="AH77" s="100"/>
      <c r="AI77" s="304" t="s">
        <v>321</v>
      </c>
    </row>
    <row r="78" spans="1:35">
      <c r="A78" s="96" t="s">
        <v>187</v>
      </c>
      <c r="B78" s="97"/>
      <c r="C78" s="98"/>
      <c r="D78" s="98"/>
      <c r="E78" s="98"/>
      <c r="F78" s="99">
        <f t="shared" ref="F78:Q78" ca="1" si="106">F65-F76</f>
        <v>-7304.166666666667</v>
      </c>
      <c r="G78" s="99">
        <f t="shared" ca="1" si="106"/>
        <v>-7434.166666666667</v>
      </c>
      <c r="H78" s="99">
        <f t="shared" ca="1" si="106"/>
        <v>-17434.166666666664</v>
      </c>
      <c r="I78" s="99">
        <f t="shared" ca="1" si="106"/>
        <v>130033.33333333334</v>
      </c>
      <c r="J78" s="99">
        <f t="shared" ca="1" si="106"/>
        <v>-9028.5866666666643</v>
      </c>
      <c r="K78" s="99">
        <f t="shared" ca="1" si="106"/>
        <v>-27030.176666666677</v>
      </c>
      <c r="L78" s="99">
        <f t="shared" ca="1" si="106"/>
        <v>-32854.256666666668</v>
      </c>
      <c r="M78" s="99">
        <f t="shared" ca="1" si="106"/>
        <v>-24430.846666666675</v>
      </c>
      <c r="N78" s="99">
        <f t="shared" ca="1" si="106"/>
        <v>-24823.286666666656</v>
      </c>
      <c r="O78" s="99">
        <f t="shared" ca="1" si="106"/>
        <v>-23737.366666666654</v>
      </c>
      <c r="P78" s="99">
        <f t="shared" ca="1" si="106"/>
        <v>-11677.706666666665</v>
      </c>
      <c r="Q78" s="99">
        <f t="shared" ca="1" si="106"/>
        <v>-29403.746666666666</v>
      </c>
      <c r="R78" s="100">
        <f ca="1">SUM(F78:Q78)</f>
        <v>-85125.139999999985</v>
      </c>
      <c r="S78" s="99">
        <f t="shared" ref="S78:AD78" ca="1" si="107">S65-S76</f>
        <v>776350.41333333333</v>
      </c>
      <c r="T78" s="99">
        <f t="shared" ca="1" si="107"/>
        <v>-72318.723333333328</v>
      </c>
      <c r="U78" s="99">
        <f ca="1">U65-U76</f>
        <v>-105072.80949999997</v>
      </c>
      <c r="V78" s="99">
        <f t="shared" ca="1" si="107"/>
        <v>-81323.970166666695</v>
      </c>
      <c r="W78" s="99">
        <f t="shared" ca="1" si="107"/>
        <v>-38783.509666666643</v>
      </c>
      <c r="X78" s="99">
        <f t="shared" ca="1" si="107"/>
        <v>-23986.808666666639</v>
      </c>
      <c r="Y78" s="99">
        <f t="shared" ca="1" si="107"/>
        <v>-6526.6766666666845</v>
      </c>
      <c r="Z78" s="99">
        <f t="shared" ca="1" si="107"/>
        <v>-2646.8661666666376</v>
      </c>
      <c r="AA78" s="99">
        <f t="shared" ca="1" si="107"/>
        <v>44575.22933333338</v>
      </c>
      <c r="AB78" s="99">
        <f t="shared" ca="1" si="107"/>
        <v>74376.232333333333</v>
      </c>
      <c r="AC78" s="99">
        <f t="shared" ca="1" si="107"/>
        <v>129613.3948333335</v>
      </c>
      <c r="AD78" s="99">
        <f t="shared" ca="1" si="107"/>
        <v>142298.86983333345</v>
      </c>
      <c r="AE78" s="100">
        <f ca="1">SUM(S78:AD78)</f>
        <v>836554.77550000045</v>
      </c>
      <c r="AF78" s="100">
        <f ca="1">AF65-AF76</f>
        <v>1465872.9399999995</v>
      </c>
      <c r="AG78" s="100">
        <f ca="1">AG65-AG76</f>
        <v>2208964.1567416661</v>
      </c>
      <c r="AH78" s="100">
        <f ca="1">AH65-AH76</f>
        <v>2613639.251633334</v>
      </c>
      <c r="AI78" s="304" t="s">
        <v>321</v>
      </c>
    </row>
    <row r="79" spans="1:35">
      <c r="A79" s="96"/>
      <c r="B79" s="97"/>
      <c r="C79" s="98"/>
      <c r="D79" s="98"/>
      <c r="E79" s="98"/>
      <c r="F79" s="99"/>
      <c r="G79" s="99"/>
      <c r="H79" s="99"/>
      <c r="I79" s="99"/>
      <c r="J79" s="99"/>
      <c r="K79" s="99"/>
      <c r="L79" s="99"/>
      <c r="M79" s="99"/>
      <c r="N79" s="99"/>
      <c r="O79" s="99"/>
      <c r="P79" s="99"/>
      <c r="Q79" s="99"/>
      <c r="R79" s="100"/>
      <c r="S79" s="99"/>
      <c r="T79" s="99"/>
      <c r="U79" s="99"/>
      <c r="V79" s="99"/>
      <c r="W79" s="99"/>
      <c r="X79" s="99"/>
      <c r="Y79" s="99"/>
      <c r="Z79" s="99"/>
      <c r="AA79" s="99"/>
      <c r="AB79" s="99"/>
      <c r="AC79" s="99"/>
      <c r="AD79" s="99"/>
      <c r="AE79" s="100"/>
      <c r="AF79" s="100"/>
      <c r="AG79" s="100"/>
      <c r="AH79" s="100"/>
      <c r="AI79" s="304" t="s">
        <v>321</v>
      </c>
    </row>
    <row r="80" spans="1:35" ht="8.25" thickBot="1">
      <c r="A80" s="96" t="s">
        <v>168</v>
      </c>
      <c r="B80" s="97"/>
      <c r="C80" s="98"/>
      <c r="D80" s="98"/>
      <c r="E80" s="98"/>
      <c r="F80" s="99">
        <f t="shared" ref="F80:Q80" ca="1" si="108">F51+F78</f>
        <v>92695.833333333328</v>
      </c>
      <c r="G80" s="99">
        <f t="shared" ca="1" si="108"/>
        <v>85261.666666666657</v>
      </c>
      <c r="H80" s="99">
        <f t="shared" ca="1" si="108"/>
        <v>67827.5</v>
      </c>
      <c r="I80" s="99">
        <f t="shared" ca="1" si="108"/>
        <v>197860.83333333334</v>
      </c>
      <c r="J80" s="99">
        <f t="shared" ca="1" si="108"/>
        <v>188832.24666666667</v>
      </c>
      <c r="K80" s="99">
        <f t="shared" ca="1" si="108"/>
        <v>161802.07</v>
      </c>
      <c r="L80" s="99">
        <f t="shared" ca="1" si="108"/>
        <v>128947.81333333334</v>
      </c>
      <c r="M80" s="99">
        <f t="shared" ca="1" si="108"/>
        <v>104516.96666666666</v>
      </c>
      <c r="N80" s="99">
        <f t="shared" ca="1" si="108"/>
        <v>79693.680000000008</v>
      </c>
      <c r="O80" s="99">
        <f t="shared" ca="1" si="108"/>
        <v>55956.313333333354</v>
      </c>
      <c r="P80" s="99">
        <f t="shared" ca="1" si="108"/>
        <v>44278.606666666688</v>
      </c>
      <c r="Q80" s="99">
        <f t="shared" ca="1" si="108"/>
        <v>14874.860000000022</v>
      </c>
      <c r="R80" s="100">
        <f ca="1">Q80</f>
        <v>14874.860000000022</v>
      </c>
      <c r="S80" s="99">
        <f t="shared" ref="S80:AD80" ca="1" si="109">S51+S78</f>
        <v>791225.27333333332</v>
      </c>
      <c r="T80" s="99">
        <f t="shared" ca="1" si="109"/>
        <v>718906.55</v>
      </c>
      <c r="U80" s="99">
        <f ca="1">U51+U78</f>
        <v>613833.74050000007</v>
      </c>
      <c r="V80" s="99">
        <f t="shared" ca="1" si="109"/>
        <v>532509.77033333341</v>
      </c>
      <c r="W80" s="99">
        <f t="shared" ca="1" si="109"/>
        <v>493726.26066666679</v>
      </c>
      <c r="X80" s="99">
        <f t="shared" ca="1" si="109"/>
        <v>469739.45200000016</v>
      </c>
      <c r="Y80" s="99">
        <f t="shared" ca="1" si="109"/>
        <v>463212.77533333347</v>
      </c>
      <c r="Z80" s="99">
        <f t="shared" ca="1" si="109"/>
        <v>460565.90916666685</v>
      </c>
      <c r="AA80" s="99">
        <f t="shared" ca="1" si="109"/>
        <v>505141.13850000023</v>
      </c>
      <c r="AB80" s="99">
        <f t="shared" ca="1" si="109"/>
        <v>579517.37083333358</v>
      </c>
      <c r="AC80" s="99">
        <f t="shared" ca="1" si="109"/>
        <v>709130.76566666714</v>
      </c>
      <c r="AD80" s="99">
        <f t="shared" ca="1" si="109"/>
        <v>851429.63550000056</v>
      </c>
      <c r="AE80" s="100">
        <f ca="1">AD80</f>
        <v>851429.63550000056</v>
      </c>
      <c r="AF80" s="100">
        <f ca="1">AF51+AF78</f>
        <v>2317302.5755000003</v>
      </c>
      <c r="AG80" s="100">
        <f ca="1">AG51+AG78</f>
        <v>4526266.7322416659</v>
      </c>
      <c r="AH80" s="100">
        <f ca="1">AH51+AH78</f>
        <v>7139905.9838749999</v>
      </c>
      <c r="AI80" s="304" t="s">
        <v>321</v>
      </c>
    </row>
    <row r="81" spans="1:35" s="65" customFormat="1" ht="8.25" thickTop="1">
      <c r="A81" s="305" t="s">
        <v>188</v>
      </c>
      <c r="B81" s="306"/>
      <c r="C81" s="307"/>
      <c r="D81" s="307"/>
      <c r="E81" s="307"/>
      <c r="F81" s="310"/>
      <c r="G81" s="310"/>
      <c r="H81" s="310"/>
      <c r="I81" s="310"/>
      <c r="J81" s="310"/>
      <c r="K81" s="310"/>
      <c r="L81" s="310"/>
      <c r="M81" s="310"/>
      <c r="N81" s="310"/>
      <c r="O81" s="310"/>
      <c r="P81" s="310"/>
      <c r="Q81" s="310"/>
      <c r="R81" s="311"/>
      <c r="S81" s="310"/>
      <c r="T81" s="310"/>
      <c r="U81" s="310"/>
      <c r="V81" s="310"/>
      <c r="W81" s="310"/>
      <c r="X81" s="310"/>
      <c r="Y81" s="310"/>
      <c r="Z81" s="310"/>
      <c r="AA81" s="310"/>
      <c r="AB81" s="310"/>
      <c r="AC81" s="310"/>
      <c r="AD81" s="310"/>
      <c r="AE81" s="311"/>
      <c r="AF81" s="311"/>
      <c r="AG81" s="311"/>
      <c r="AH81" s="311"/>
      <c r="AI81" s="304" t="s">
        <v>321</v>
      </c>
    </row>
    <row r="82" spans="1:35" s="65" customFormat="1" ht="8.25" outlineLevel="1" thickBot="1">
      <c r="A82" s="312" t="str">
        <f>$A$1</f>
        <v>PEP STRAW</v>
      </c>
      <c r="B82" s="313"/>
      <c r="C82" s="314"/>
      <c r="D82" s="314"/>
      <c r="E82" s="314"/>
      <c r="F82" s="315"/>
      <c r="G82" s="315"/>
      <c r="H82" s="315"/>
      <c r="I82" s="315"/>
      <c r="J82" s="315"/>
      <c r="K82" s="315"/>
      <c r="L82" s="315"/>
      <c r="M82" s="315"/>
      <c r="N82" s="315"/>
      <c r="O82" s="315"/>
      <c r="P82" s="315"/>
      <c r="Q82" s="315"/>
      <c r="R82" s="316"/>
      <c r="S82" s="315"/>
      <c r="T82" s="315"/>
      <c r="U82" s="315"/>
      <c r="V82" s="315"/>
      <c r="W82" s="315"/>
      <c r="X82" s="315"/>
      <c r="Y82" s="315"/>
      <c r="Z82" s="315"/>
      <c r="AA82" s="315"/>
      <c r="AB82" s="315"/>
      <c r="AC82" s="315"/>
      <c r="AD82" s="315"/>
      <c r="AE82" s="316"/>
      <c r="AF82" s="316"/>
      <c r="AG82" s="316"/>
      <c r="AH82" s="316"/>
      <c r="AI82" s="304" t="s">
        <v>321</v>
      </c>
    </row>
    <row r="83" spans="1:35" ht="8.25" thickTop="1">
      <c r="A83" s="83"/>
      <c r="B83" s="84">
        <f ca="1">NOW()</f>
        <v>44371.35163020833</v>
      </c>
      <c r="C83" s="85"/>
      <c r="D83" s="85"/>
      <c r="E83" s="85"/>
      <c r="F83" s="86" t="str">
        <f t="shared" ref="F83:Q83" si="110">F$8</f>
        <v>Month 1</v>
      </c>
      <c r="G83" s="86" t="str">
        <f t="shared" si="110"/>
        <v>Month 2</v>
      </c>
      <c r="H83" s="86" t="str">
        <f t="shared" si="110"/>
        <v>Month 3</v>
      </c>
      <c r="I83" s="86" t="str">
        <f t="shared" si="110"/>
        <v>Month 4</v>
      </c>
      <c r="J83" s="86" t="str">
        <f t="shared" si="110"/>
        <v>Month 5</v>
      </c>
      <c r="K83" s="86" t="str">
        <f t="shared" si="110"/>
        <v>Month 6</v>
      </c>
      <c r="L83" s="86" t="str">
        <f t="shared" si="110"/>
        <v>Month 7</v>
      </c>
      <c r="M83" s="86" t="str">
        <f t="shared" si="110"/>
        <v>Month 8</v>
      </c>
      <c r="N83" s="86" t="str">
        <f t="shared" si="110"/>
        <v>Month 9</v>
      </c>
      <c r="O83" s="86" t="str">
        <f t="shared" si="110"/>
        <v>Month 10</v>
      </c>
      <c r="P83" s="86" t="str">
        <f t="shared" si="110"/>
        <v>Month 11</v>
      </c>
      <c r="Q83" s="86" t="str">
        <f t="shared" si="110"/>
        <v>Month 12</v>
      </c>
      <c r="R83" s="87" t="s">
        <v>127</v>
      </c>
      <c r="S83" s="86" t="str">
        <f t="shared" ref="S83:AD83" si="111">S$8</f>
        <v>Month 13</v>
      </c>
      <c r="T83" s="86" t="str">
        <f t="shared" si="111"/>
        <v>Month 14</v>
      </c>
      <c r="U83" s="86" t="str">
        <f t="shared" si="111"/>
        <v>Month 15</v>
      </c>
      <c r="V83" s="86" t="str">
        <f t="shared" si="111"/>
        <v>Month 16</v>
      </c>
      <c r="W83" s="86" t="str">
        <f t="shared" si="111"/>
        <v>Month 17</v>
      </c>
      <c r="X83" s="86" t="str">
        <f t="shared" si="111"/>
        <v>Month 18</v>
      </c>
      <c r="Y83" s="86" t="str">
        <f t="shared" si="111"/>
        <v>Month 19</v>
      </c>
      <c r="Z83" s="86" t="str">
        <f t="shared" si="111"/>
        <v>Month 20</v>
      </c>
      <c r="AA83" s="86" t="str">
        <f t="shared" si="111"/>
        <v>Month 21</v>
      </c>
      <c r="AB83" s="86" t="str">
        <f t="shared" si="111"/>
        <v>Month 22</v>
      </c>
      <c r="AC83" s="86" t="str">
        <f t="shared" si="111"/>
        <v>Month 23</v>
      </c>
      <c r="AD83" s="86" t="str">
        <f t="shared" si="111"/>
        <v>Month 24</v>
      </c>
      <c r="AE83" s="87" t="s">
        <v>127</v>
      </c>
      <c r="AF83" s="87" t="str">
        <f>AF$8</f>
        <v>Total</v>
      </c>
      <c r="AG83" s="87" t="str">
        <f>AG$8</f>
        <v>Total</v>
      </c>
      <c r="AH83" s="87" t="str">
        <f>AH$8</f>
        <v>Total</v>
      </c>
      <c r="AI83" s="304" t="s">
        <v>321</v>
      </c>
    </row>
    <row r="84" spans="1:35">
      <c r="A84" s="89"/>
      <c r="B84" s="90">
        <f ca="1">NOW()</f>
        <v>44371.35163020833</v>
      </c>
      <c r="C84" s="91"/>
      <c r="D84" s="91"/>
      <c r="E84" s="91"/>
      <c r="F84" s="92">
        <f t="shared" ref="F84:AH84" si="112">F$1</f>
        <v>43466</v>
      </c>
      <c r="G84" s="92">
        <f t="shared" si="112"/>
        <v>43497</v>
      </c>
      <c r="H84" s="92">
        <f t="shared" si="112"/>
        <v>43528</v>
      </c>
      <c r="I84" s="92">
        <f t="shared" si="112"/>
        <v>43559</v>
      </c>
      <c r="J84" s="92">
        <f t="shared" si="112"/>
        <v>43590</v>
      </c>
      <c r="K84" s="92">
        <f t="shared" si="112"/>
        <v>43621</v>
      </c>
      <c r="L84" s="92">
        <f t="shared" si="112"/>
        <v>43652</v>
      </c>
      <c r="M84" s="92">
        <f t="shared" si="112"/>
        <v>43683</v>
      </c>
      <c r="N84" s="92">
        <f t="shared" si="112"/>
        <v>43714</v>
      </c>
      <c r="O84" s="92">
        <f t="shared" si="112"/>
        <v>43745</v>
      </c>
      <c r="P84" s="92">
        <f t="shared" si="112"/>
        <v>43776</v>
      </c>
      <c r="Q84" s="92">
        <f t="shared" si="112"/>
        <v>43807</v>
      </c>
      <c r="R84" s="93">
        <f t="shared" si="112"/>
        <v>43807</v>
      </c>
      <c r="S84" s="92">
        <f t="shared" si="112"/>
        <v>43838</v>
      </c>
      <c r="T84" s="92">
        <f t="shared" si="112"/>
        <v>43869</v>
      </c>
      <c r="U84" s="92">
        <f t="shared" si="112"/>
        <v>43900</v>
      </c>
      <c r="V84" s="92">
        <f t="shared" si="112"/>
        <v>43931</v>
      </c>
      <c r="W84" s="92">
        <f t="shared" si="112"/>
        <v>43962</v>
      </c>
      <c r="X84" s="92">
        <f t="shared" si="112"/>
        <v>43993</v>
      </c>
      <c r="Y84" s="92">
        <f t="shared" si="112"/>
        <v>44024</v>
      </c>
      <c r="Z84" s="92">
        <f t="shared" si="112"/>
        <v>44055</v>
      </c>
      <c r="AA84" s="92">
        <f t="shared" si="112"/>
        <v>44086</v>
      </c>
      <c r="AB84" s="92">
        <f t="shared" si="112"/>
        <v>44117</v>
      </c>
      <c r="AC84" s="92">
        <f t="shared" si="112"/>
        <v>44148</v>
      </c>
      <c r="AD84" s="92">
        <f t="shared" si="112"/>
        <v>44179</v>
      </c>
      <c r="AE84" s="93">
        <f t="shared" si="112"/>
        <v>44179</v>
      </c>
      <c r="AF84" s="93">
        <f t="shared" si="112"/>
        <v>44544</v>
      </c>
      <c r="AG84" s="93">
        <f t="shared" si="112"/>
        <v>44909</v>
      </c>
      <c r="AH84" s="93">
        <f t="shared" si="112"/>
        <v>45274</v>
      </c>
      <c r="AI84" s="304" t="s">
        <v>321</v>
      </c>
    </row>
    <row r="85" spans="1:35">
      <c r="A85" s="96"/>
      <c r="B85" s="97"/>
      <c r="C85" s="98"/>
      <c r="D85" s="98"/>
      <c r="E85" s="98"/>
      <c r="F85" s="99"/>
      <c r="G85" s="99"/>
      <c r="H85" s="99"/>
      <c r="I85" s="99"/>
      <c r="J85" s="99"/>
      <c r="K85" s="99"/>
      <c r="L85" s="99"/>
      <c r="M85" s="99"/>
      <c r="N85" s="99"/>
      <c r="O85" s="99"/>
      <c r="P85" s="99"/>
      <c r="Q85" s="99"/>
      <c r="R85" s="100"/>
      <c r="S85" s="99"/>
      <c r="T85" s="99"/>
      <c r="U85" s="99"/>
      <c r="V85" s="99"/>
      <c r="W85" s="99"/>
      <c r="X85" s="99"/>
      <c r="Y85" s="99"/>
      <c r="Z85" s="99"/>
      <c r="AA85" s="99"/>
      <c r="AB85" s="99"/>
      <c r="AC85" s="99"/>
      <c r="AD85" s="99"/>
      <c r="AE85" s="100"/>
      <c r="AF85" s="100"/>
      <c r="AG85" s="100"/>
      <c r="AH85" s="100"/>
      <c r="AI85" s="304" t="s">
        <v>321</v>
      </c>
    </row>
    <row r="86" spans="1:35">
      <c r="A86" s="96" t="s">
        <v>189</v>
      </c>
      <c r="B86" s="97"/>
      <c r="C86" s="98"/>
      <c r="D86" s="98"/>
      <c r="E86" s="98"/>
      <c r="F86" s="99"/>
      <c r="G86" s="99"/>
      <c r="H86" s="99"/>
      <c r="I86" s="99"/>
      <c r="J86" s="99"/>
      <c r="K86" s="99"/>
      <c r="L86" s="99"/>
      <c r="M86" s="99"/>
      <c r="N86" s="99"/>
      <c r="O86" s="99"/>
      <c r="P86" s="99"/>
      <c r="Q86" s="99"/>
      <c r="R86" s="100"/>
      <c r="S86" s="99"/>
      <c r="T86" s="99"/>
      <c r="U86" s="99"/>
      <c r="V86" s="99"/>
      <c r="W86" s="99"/>
      <c r="X86" s="99"/>
      <c r="Y86" s="99"/>
      <c r="Z86" s="99"/>
      <c r="AA86" s="99"/>
      <c r="AB86" s="99"/>
      <c r="AC86" s="99"/>
      <c r="AD86" s="99"/>
      <c r="AE86" s="100"/>
      <c r="AF86" s="100"/>
      <c r="AG86" s="100"/>
      <c r="AH86" s="100"/>
      <c r="AI86" s="304" t="s">
        <v>321</v>
      </c>
    </row>
    <row r="87" spans="1:35">
      <c r="A87" s="96"/>
      <c r="B87" s="97" t="str">
        <f>B231</f>
        <v>PEP Straw 1</v>
      </c>
      <c r="C87" s="98"/>
      <c r="D87" s="98"/>
      <c r="E87" s="98"/>
      <c r="F87" s="67">
        <f>F246</f>
        <v>0</v>
      </c>
      <c r="G87" s="67">
        <f>G246</f>
        <v>0</v>
      </c>
      <c r="H87" s="67">
        <f t="shared" ref="H87:Q87" si="113">H246</f>
        <v>0</v>
      </c>
      <c r="I87" s="67">
        <f t="shared" si="113"/>
        <v>5250</v>
      </c>
      <c r="J87" s="99">
        <f t="shared" si="113"/>
        <v>7875</v>
      </c>
      <c r="K87" s="99">
        <f t="shared" si="113"/>
        <v>10500</v>
      </c>
      <c r="L87" s="99">
        <f t="shared" si="113"/>
        <v>13125</v>
      </c>
      <c r="M87" s="99">
        <f t="shared" si="113"/>
        <v>42000</v>
      </c>
      <c r="N87" s="99">
        <f t="shared" si="113"/>
        <v>44625</v>
      </c>
      <c r="O87" s="99">
        <f t="shared" si="113"/>
        <v>47250</v>
      </c>
      <c r="P87" s="99">
        <f t="shared" si="113"/>
        <v>94500</v>
      </c>
      <c r="Q87" s="99">
        <f t="shared" si="113"/>
        <v>105000</v>
      </c>
      <c r="R87" s="100">
        <f t="shared" ref="R87:R92" si="114">SUM(F87:Q87)</f>
        <v>370125</v>
      </c>
      <c r="S87" s="99">
        <f t="shared" ref="S87:AD88" si="115">S246</f>
        <v>123900</v>
      </c>
      <c r="T87" s="99">
        <f t="shared" si="115"/>
        <v>146202</v>
      </c>
      <c r="U87" s="99">
        <f t="shared" si="115"/>
        <v>172518.15</v>
      </c>
      <c r="V87" s="99">
        <f t="shared" si="115"/>
        <v>203571.9</v>
      </c>
      <c r="W87" s="99">
        <f t="shared" si="115"/>
        <v>240214.80000000002</v>
      </c>
      <c r="X87" s="99">
        <f t="shared" si="115"/>
        <v>283453.8</v>
      </c>
      <c r="Y87" s="99">
        <f>Y246</f>
        <v>334475.40000000002</v>
      </c>
      <c r="Z87" s="99">
        <f t="shared" si="115"/>
        <v>394681.35000000003</v>
      </c>
      <c r="AA87" s="99">
        <f t="shared" si="115"/>
        <v>465724.35000000003</v>
      </c>
      <c r="AB87" s="99">
        <f t="shared" si="115"/>
        <v>549554.25</v>
      </c>
      <c r="AC87" s="99">
        <f t="shared" si="115"/>
        <v>648473.70000000007</v>
      </c>
      <c r="AD87" s="99">
        <f t="shared" si="115"/>
        <v>765199.05</v>
      </c>
      <c r="AE87" s="100">
        <f t="shared" ref="AE87:AE92" si="116">SUM(S87:AD87)</f>
        <v>4327968.7500000009</v>
      </c>
      <c r="AF87" s="100">
        <f t="shared" ref="AF87:AH88" si="117">AF246</f>
        <v>9801677.5500000007</v>
      </c>
      <c r="AG87" s="100">
        <f t="shared" si="117"/>
        <v>11795793.450000001</v>
      </c>
      <c r="AH87" s="100">
        <f t="shared" si="117"/>
        <v>14007459.9</v>
      </c>
      <c r="AI87" s="304" t="s">
        <v>321</v>
      </c>
    </row>
    <row r="88" spans="1:35">
      <c r="A88" s="96"/>
      <c r="B88" s="97" t="str">
        <f>B232</f>
        <v>PEP Straw 2</v>
      </c>
      <c r="C88" s="98"/>
      <c r="D88" s="98"/>
      <c r="E88" s="98"/>
      <c r="F88" s="67">
        <f>F247</f>
        <v>0</v>
      </c>
      <c r="G88" s="67">
        <f t="shared" ref="G88:Q88" si="118">G247</f>
        <v>0</v>
      </c>
      <c r="H88" s="67">
        <f t="shared" si="118"/>
        <v>0</v>
      </c>
      <c r="I88" s="67">
        <f t="shared" si="118"/>
        <v>0</v>
      </c>
      <c r="J88" s="67">
        <f t="shared" si="118"/>
        <v>0</v>
      </c>
      <c r="K88" s="67">
        <f t="shared" si="118"/>
        <v>0</v>
      </c>
      <c r="L88" s="67">
        <f t="shared" si="118"/>
        <v>0</v>
      </c>
      <c r="M88" s="67">
        <f t="shared" si="118"/>
        <v>0</v>
      </c>
      <c r="N88" s="67">
        <f t="shared" si="118"/>
        <v>0</v>
      </c>
      <c r="O88" s="67">
        <f t="shared" si="118"/>
        <v>0</v>
      </c>
      <c r="P88" s="67">
        <f t="shared" si="118"/>
        <v>0</v>
      </c>
      <c r="Q88" s="67">
        <f t="shared" si="118"/>
        <v>0</v>
      </c>
      <c r="R88" s="100">
        <f t="shared" si="114"/>
        <v>0</v>
      </c>
      <c r="S88" s="99">
        <f t="shared" si="115"/>
        <v>0</v>
      </c>
      <c r="T88" s="99">
        <f t="shared" si="115"/>
        <v>0</v>
      </c>
      <c r="U88" s="99">
        <f t="shared" si="115"/>
        <v>0</v>
      </c>
      <c r="V88" s="99">
        <f t="shared" si="115"/>
        <v>0</v>
      </c>
      <c r="W88" s="99">
        <f t="shared" si="115"/>
        <v>0</v>
      </c>
      <c r="X88" s="99">
        <f t="shared" si="115"/>
        <v>0</v>
      </c>
      <c r="Y88" s="99">
        <f t="shared" si="115"/>
        <v>0</v>
      </c>
      <c r="Z88" s="99">
        <f t="shared" si="115"/>
        <v>0</v>
      </c>
      <c r="AA88" s="99">
        <f t="shared" si="115"/>
        <v>0</v>
      </c>
      <c r="AB88" s="99">
        <f t="shared" si="115"/>
        <v>0</v>
      </c>
      <c r="AC88" s="99">
        <f t="shared" si="115"/>
        <v>0</v>
      </c>
      <c r="AD88" s="99">
        <f t="shared" si="115"/>
        <v>0</v>
      </c>
      <c r="AE88" s="100">
        <f t="shared" si="116"/>
        <v>0</v>
      </c>
      <c r="AF88" s="100">
        <f t="shared" si="117"/>
        <v>785881.95000000007</v>
      </c>
      <c r="AG88" s="100">
        <f t="shared" si="117"/>
        <v>2149017.15</v>
      </c>
      <c r="AH88" s="100">
        <f t="shared" si="117"/>
        <v>3612164.85</v>
      </c>
      <c r="AI88" s="304" t="s">
        <v>321</v>
      </c>
    </row>
    <row r="89" spans="1:35">
      <c r="A89" s="96"/>
      <c r="B89" s="97" t="str">
        <f>B233</f>
        <v>PEP Straw 3</v>
      </c>
      <c r="C89" s="98"/>
      <c r="D89" s="98"/>
      <c r="E89" s="98"/>
      <c r="F89" s="99">
        <f t="shared" ref="F89:Q89" si="119">F248</f>
        <v>0</v>
      </c>
      <c r="G89" s="99">
        <f t="shared" si="119"/>
        <v>0</v>
      </c>
      <c r="H89" s="99">
        <f t="shared" si="119"/>
        <v>0</v>
      </c>
      <c r="I89" s="99">
        <f t="shared" si="119"/>
        <v>0</v>
      </c>
      <c r="J89" s="99">
        <f t="shared" si="119"/>
        <v>0</v>
      </c>
      <c r="K89" s="99">
        <f t="shared" si="119"/>
        <v>0</v>
      </c>
      <c r="L89" s="99">
        <f t="shared" si="119"/>
        <v>0</v>
      </c>
      <c r="M89" s="99">
        <f t="shared" si="119"/>
        <v>0</v>
      </c>
      <c r="N89" s="99">
        <f t="shared" si="119"/>
        <v>0</v>
      </c>
      <c r="O89" s="99">
        <f t="shared" si="119"/>
        <v>0</v>
      </c>
      <c r="P89" s="99">
        <f t="shared" si="119"/>
        <v>0</v>
      </c>
      <c r="Q89" s="99">
        <f t="shared" si="119"/>
        <v>0</v>
      </c>
      <c r="R89" s="100">
        <f t="shared" si="114"/>
        <v>0</v>
      </c>
      <c r="S89" s="99">
        <f t="shared" ref="S89:AD89" si="120">S248</f>
        <v>0</v>
      </c>
      <c r="T89" s="99">
        <f t="shared" si="120"/>
        <v>0</v>
      </c>
      <c r="U89" s="99">
        <f t="shared" si="120"/>
        <v>0</v>
      </c>
      <c r="V89" s="99">
        <f t="shared" si="120"/>
        <v>0</v>
      </c>
      <c r="W89" s="99">
        <f t="shared" si="120"/>
        <v>0</v>
      </c>
      <c r="X89" s="99">
        <f t="shared" si="120"/>
        <v>0</v>
      </c>
      <c r="Y89" s="99">
        <f t="shared" si="120"/>
        <v>0</v>
      </c>
      <c r="Z89" s="99">
        <f t="shared" si="120"/>
        <v>0</v>
      </c>
      <c r="AA89" s="99">
        <f t="shared" si="120"/>
        <v>0</v>
      </c>
      <c r="AB89" s="99">
        <f t="shared" si="120"/>
        <v>0</v>
      </c>
      <c r="AC89" s="99">
        <f t="shared" si="120"/>
        <v>0</v>
      </c>
      <c r="AD89" s="99">
        <f t="shared" si="120"/>
        <v>0</v>
      </c>
      <c r="AE89" s="100">
        <f t="shared" si="116"/>
        <v>0</v>
      </c>
      <c r="AF89" s="100">
        <f>AF248</f>
        <v>0</v>
      </c>
      <c r="AG89" s="100">
        <f>AG248</f>
        <v>1408739.85</v>
      </c>
      <c r="AH89" s="100">
        <f>AH248</f>
        <v>2770353.6</v>
      </c>
      <c r="AI89" s="304" t="s">
        <v>321</v>
      </c>
    </row>
    <row r="90" spans="1:35">
      <c r="A90" s="96"/>
      <c r="B90" s="97" t="str">
        <f>B234</f>
        <v>PRODUCT 4</v>
      </c>
      <c r="C90" s="98"/>
      <c r="D90" s="98"/>
      <c r="E90" s="98"/>
      <c r="F90" s="99">
        <f t="shared" ref="F90:Q90" si="121">F249</f>
        <v>0</v>
      </c>
      <c r="G90" s="99">
        <f t="shared" si="121"/>
        <v>0</v>
      </c>
      <c r="H90" s="99">
        <f t="shared" si="121"/>
        <v>0</v>
      </c>
      <c r="I90" s="99">
        <f t="shared" si="121"/>
        <v>0</v>
      </c>
      <c r="J90" s="99">
        <f t="shared" si="121"/>
        <v>0</v>
      </c>
      <c r="K90" s="99">
        <f t="shared" si="121"/>
        <v>0</v>
      </c>
      <c r="L90" s="99">
        <f t="shared" si="121"/>
        <v>0</v>
      </c>
      <c r="M90" s="99">
        <f t="shared" si="121"/>
        <v>0</v>
      </c>
      <c r="N90" s="99">
        <f t="shared" si="121"/>
        <v>0</v>
      </c>
      <c r="O90" s="99">
        <f t="shared" si="121"/>
        <v>0</v>
      </c>
      <c r="P90" s="99">
        <f t="shared" si="121"/>
        <v>0</v>
      </c>
      <c r="Q90" s="99">
        <f t="shared" si="121"/>
        <v>0</v>
      </c>
      <c r="R90" s="100">
        <f t="shared" si="114"/>
        <v>0</v>
      </c>
      <c r="S90" s="99">
        <f t="shared" ref="S90:AD90" si="122">S249</f>
        <v>0</v>
      </c>
      <c r="T90" s="99">
        <f t="shared" si="122"/>
        <v>0</v>
      </c>
      <c r="U90" s="99">
        <f>U249</f>
        <v>0</v>
      </c>
      <c r="V90" s="99">
        <f t="shared" si="122"/>
        <v>0</v>
      </c>
      <c r="W90" s="99">
        <f t="shared" si="122"/>
        <v>0</v>
      </c>
      <c r="X90" s="99">
        <f t="shared" si="122"/>
        <v>0</v>
      </c>
      <c r="Y90" s="99">
        <f t="shared" si="122"/>
        <v>0</v>
      </c>
      <c r="Z90" s="99">
        <f t="shared" si="122"/>
        <v>0</v>
      </c>
      <c r="AA90" s="99">
        <f t="shared" si="122"/>
        <v>0</v>
      </c>
      <c r="AB90" s="99">
        <f t="shared" si="122"/>
        <v>0</v>
      </c>
      <c r="AC90" s="99">
        <f t="shared" si="122"/>
        <v>0</v>
      </c>
      <c r="AD90" s="99">
        <f t="shared" si="122"/>
        <v>0</v>
      </c>
      <c r="AE90" s="100">
        <f t="shared" si="116"/>
        <v>0</v>
      </c>
      <c r="AF90" s="100">
        <f t="shared" ref="AF90:AH91" si="123">AF249</f>
        <v>0</v>
      </c>
      <c r="AG90" s="100">
        <f t="shared" si="123"/>
        <v>0</v>
      </c>
      <c r="AH90" s="100">
        <f t="shared" si="123"/>
        <v>0</v>
      </c>
      <c r="AI90" s="304" t="s">
        <v>321</v>
      </c>
    </row>
    <row r="91" spans="1:35">
      <c r="A91" s="96"/>
      <c r="B91" s="97" t="str">
        <f>B235</f>
        <v>PRODUCT 5</v>
      </c>
      <c r="C91" s="98"/>
      <c r="D91" s="98"/>
      <c r="E91" s="98"/>
      <c r="F91" s="99">
        <f t="shared" ref="F91:Q91" si="124">F250</f>
        <v>0</v>
      </c>
      <c r="G91" s="99">
        <f t="shared" si="124"/>
        <v>0</v>
      </c>
      <c r="H91" s="99">
        <f t="shared" si="124"/>
        <v>0</v>
      </c>
      <c r="I91" s="99">
        <f t="shared" si="124"/>
        <v>0</v>
      </c>
      <c r="J91" s="99">
        <f t="shared" si="124"/>
        <v>0</v>
      </c>
      <c r="K91" s="99">
        <f t="shared" si="124"/>
        <v>0</v>
      </c>
      <c r="L91" s="99">
        <f t="shared" si="124"/>
        <v>0</v>
      </c>
      <c r="M91" s="99">
        <f t="shared" si="124"/>
        <v>0</v>
      </c>
      <c r="N91" s="99">
        <f t="shared" si="124"/>
        <v>0</v>
      </c>
      <c r="O91" s="99">
        <f t="shared" si="124"/>
        <v>0</v>
      </c>
      <c r="P91" s="99">
        <f t="shared" si="124"/>
        <v>0</v>
      </c>
      <c r="Q91" s="99">
        <f t="shared" si="124"/>
        <v>0</v>
      </c>
      <c r="R91" s="100">
        <f t="shared" si="114"/>
        <v>0</v>
      </c>
      <c r="S91" s="99">
        <f t="shared" ref="S91:AD91" si="125">S250</f>
        <v>0</v>
      </c>
      <c r="T91" s="99">
        <f t="shared" si="125"/>
        <v>0</v>
      </c>
      <c r="U91" s="99">
        <f t="shared" si="125"/>
        <v>0</v>
      </c>
      <c r="V91" s="99">
        <f t="shared" si="125"/>
        <v>0</v>
      </c>
      <c r="W91" s="99">
        <f t="shared" si="125"/>
        <v>0</v>
      </c>
      <c r="X91" s="99">
        <f t="shared" si="125"/>
        <v>0</v>
      </c>
      <c r="Y91" s="99">
        <f t="shared" si="125"/>
        <v>0</v>
      </c>
      <c r="Z91" s="99">
        <f t="shared" si="125"/>
        <v>0</v>
      </c>
      <c r="AA91" s="99">
        <f t="shared" si="125"/>
        <v>0</v>
      </c>
      <c r="AB91" s="99">
        <f t="shared" si="125"/>
        <v>0</v>
      </c>
      <c r="AC91" s="99">
        <f t="shared" si="125"/>
        <v>0</v>
      </c>
      <c r="AD91" s="99">
        <f t="shared" si="125"/>
        <v>0</v>
      </c>
      <c r="AE91" s="100">
        <f t="shared" si="116"/>
        <v>0</v>
      </c>
      <c r="AF91" s="100">
        <f t="shared" si="123"/>
        <v>0</v>
      </c>
      <c r="AG91" s="100">
        <f t="shared" si="123"/>
        <v>0</v>
      </c>
      <c r="AH91" s="100">
        <f t="shared" si="123"/>
        <v>0</v>
      </c>
      <c r="AI91" s="304" t="s">
        <v>321</v>
      </c>
    </row>
    <row r="92" spans="1:35">
      <c r="A92" s="83" t="s">
        <v>190</v>
      </c>
      <c r="B92" s="102"/>
      <c r="C92" s="85"/>
      <c r="D92" s="85"/>
      <c r="E92" s="85"/>
      <c r="F92" s="110">
        <f t="shared" ref="F92:Q92" si="126">SUM(F87:F91)</f>
        <v>0</v>
      </c>
      <c r="G92" s="110">
        <f t="shared" si="126"/>
        <v>0</v>
      </c>
      <c r="H92" s="110">
        <f t="shared" si="126"/>
        <v>0</v>
      </c>
      <c r="I92" s="110">
        <f t="shared" si="126"/>
        <v>5250</v>
      </c>
      <c r="J92" s="103">
        <f t="shared" si="126"/>
        <v>7875</v>
      </c>
      <c r="K92" s="103">
        <f t="shared" si="126"/>
        <v>10500</v>
      </c>
      <c r="L92" s="103">
        <f t="shared" si="126"/>
        <v>13125</v>
      </c>
      <c r="M92" s="103">
        <f t="shared" si="126"/>
        <v>42000</v>
      </c>
      <c r="N92" s="103">
        <f t="shared" si="126"/>
        <v>44625</v>
      </c>
      <c r="O92" s="103">
        <f t="shared" si="126"/>
        <v>47250</v>
      </c>
      <c r="P92" s="103">
        <f t="shared" si="126"/>
        <v>94500</v>
      </c>
      <c r="Q92" s="103">
        <f t="shared" si="126"/>
        <v>105000</v>
      </c>
      <c r="R92" s="104">
        <f t="shared" si="114"/>
        <v>370125</v>
      </c>
      <c r="S92" s="103">
        <f t="shared" ref="S92:AD92" si="127">SUM(S87:S91)</f>
        <v>123900</v>
      </c>
      <c r="T92" s="103">
        <f t="shared" si="127"/>
        <v>146202</v>
      </c>
      <c r="U92" s="103">
        <f t="shared" si="127"/>
        <v>172518.15</v>
      </c>
      <c r="V92" s="103">
        <f t="shared" si="127"/>
        <v>203571.9</v>
      </c>
      <c r="W92" s="103">
        <f t="shared" si="127"/>
        <v>240214.80000000002</v>
      </c>
      <c r="X92" s="103">
        <f t="shared" si="127"/>
        <v>283453.8</v>
      </c>
      <c r="Y92" s="103">
        <f t="shared" si="127"/>
        <v>334475.40000000002</v>
      </c>
      <c r="Z92" s="103">
        <f t="shared" si="127"/>
        <v>394681.35000000003</v>
      </c>
      <c r="AA92" s="103">
        <f t="shared" si="127"/>
        <v>465724.35000000003</v>
      </c>
      <c r="AB92" s="103">
        <f t="shared" si="127"/>
        <v>549554.25</v>
      </c>
      <c r="AC92" s="103">
        <f t="shared" si="127"/>
        <v>648473.70000000007</v>
      </c>
      <c r="AD92" s="103">
        <f t="shared" si="127"/>
        <v>765199.05</v>
      </c>
      <c r="AE92" s="104">
        <f t="shared" si="116"/>
        <v>4327968.7500000009</v>
      </c>
      <c r="AF92" s="104">
        <f>SUM(AF87:AF91)</f>
        <v>10587559.5</v>
      </c>
      <c r="AG92" s="104">
        <f>SUM(AG87:AG91)</f>
        <v>15353550.450000001</v>
      </c>
      <c r="AH92" s="104">
        <f>SUM(AH87:AH91)</f>
        <v>20389978.350000001</v>
      </c>
      <c r="AI92" s="304" t="s">
        <v>321</v>
      </c>
    </row>
    <row r="93" spans="1:35">
      <c r="A93" s="96"/>
      <c r="B93" s="111" t="s">
        <v>302</v>
      </c>
      <c r="C93" s="70"/>
      <c r="D93" s="70"/>
      <c r="E93" s="70"/>
      <c r="F93" s="67"/>
      <c r="G93" s="67"/>
      <c r="H93" s="67"/>
      <c r="I93" s="67"/>
      <c r="J93" s="67"/>
      <c r="K93" s="67"/>
      <c r="L93" s="67"/>
      <c r="M93" s="67"/>
      <c r="N93" s="67"/>
      <c r="O93" s="67"/>
      <c r="P93" s="67"/>
      <c r="Q93" s="67"/>
      <c r="R93" s="112">
        <f>R92/R288</f>
        <v>105750</v>
      </c>
      <c r="S93" s="99"/>
      <c r="T93" s="99"/>
      <c r="U93" s="99"/>
      <c r="V93" s="99"/>
      <c r="W93" s="99"/>
      <c r="X93" s="99"/>
      <c r="Y93" s="99"/>
      <c r="Z93" s="99"/>
      <c r="AA93" s="99"/>
      <c r="AB93" s="99"/>
      <c r="AC93" s="99"/>
      <c r="AD93" s="99"/>
      <c r="AE93" s="113">
        <f>AE92/AE288</f>
        <v>480885.41666666674</v>
      </c>
      <c r="AF93" s="113">
        <f>AF92/AF288</f>
        <v>882296.625</v>
      </c>
      <c r="AG93" s="113">
        <f>AG92/AG288</f>
        <v>852975.02500000002</v>
      </c>
      <c r="AH93" s="113">
        <f>AH92/AH288</f>
        <v>1019498.9175000001</v>
      </c>
      <c r="AI93" s="304" t="s">
        <v>321</v>
      </c>
    </row>
    <row r="94" spans="1:35">
      <c r="A94" s="96" t="s">
        <v>191</v>
      </c>
      <c r="B94" s="97"/>
      <c r="C94" s="98"/>
      <c r="D94" s="98"/>
      <c r="E94" s="98"/>
      <c r="F94" s="99"/>
      <c r="G94" s="99"/>
      <c r="H94" s="99"/>
      <c r="I94" s="99"/>
      <c r="J94" s="99"/>
      <c r="K94" s="99"/>
      <c r="L94" s="99"/>
      <c r="M94" s="99"/>
      <c r="N94" s="99"/>
      <c r="O94" s="99"/>
      <c r="P94" s="99"/>
      <c r="Q94" s="99"/>
      <c r="R94" s="100"/>
      <c r="S94" s="99"/>
      <c r="T94" s="99"/>
      <c r="U94" s="99"/>
      <c r="V94" s="99"/>
      <c r="W94" s="99"/>
      <c r="X94" s="99"/>
      <c r="Y94" s="99"/>
      <c r="Z94" s="99"/>
      <c r="AA94" s="99"/>
      <c r="AB94" s="99"/>
      <c r="AC94" s="99"/>
      <c r="AD94" s="99"/>
      <c r="AE94" s="100"/>
      <c r="AF94" s="100"/>
      <c r="AG94" s="100"/>
      <c r="AH94" s="100"/>
      <c r="AI94" s="304" t="s">
        <v>321</v>
      </c>
    </row>
    <row r="95" spans="1:35">
      <c r="A95" s="96" t="str">
        <f>UPPER($A$259)</f>
        <v>ENGINEERING</v>
      </c>
      <c r="B95" s="97"/>
      <c r="C95" s="98"/>
      <c r="D95" s="98"/>
      <c r="E95" s="98"/>
      <c r="F95" s="99"/>
      <c r="G95" s="99"/>
      <c r="H95" s="99"/>
      <c r="I95" s="99"/>
      <c r="J95" s="99"/>
      <c r="K95" s="99"/>
      <c r="L95" s="99"/>
      <c r="M95" s="99"/>
      <c r="N95" s="99"/>
      <c r="O95" s="99"/>
      <c r="P95" s="99"/>
      <c r="Q95" s="99"/>
      <c r="R95" s="100"/>
      <c r="S95" s="99"/>
      <c r="T95" s="99"/>
      <c r="U95" s="99"/>
      <c r="V95" s="99"/>
      <c r="W95" s="99"/>
      <c r="X95" s="99"/>
      <c r="Y95" s="99"/>
      <c r="Z95" s="99"/>
      <c r="AA95" s="99"/>
      <c r="AB95" s="99"/>
      <c r="AC95" s="99"/>
      <c r="AD95" s="99"/>
      <c r="AE95" s="100"/>
      <c r="AF95" s="100"/>
      <c r="AG95" s="100"/>
      <c r="AH95" s="100"/>
      <c r="AI95" s="304" t="s">
        <v>321</v>
      </c>
    </row>
    <row r="96" spans="1:35">
      <c r="A96" s="96"/>
      <c r="B96" s="97" t="s">
        <v>192</v>
      </c>
      <c r="C96" s="98"/>
      <c r="D96" s="98"/>
      <c r="E96" s="98"/>
      <c r="F96" s="99">
        <f t="shared" ref="F96:Q96" si="128">F267</f>
        <v>0</v>
      </c>
      <c r="G96" s="99">
        <f t="shared" si="128"/>
        <v>0</v>
      </c>
      <c r="H96" s="99">
        <f t="shared" si="128"/>
        <v>0</v>
      </c>
      <c r="I96" s="99">
        <f t="shared" si="128"/>
        <v>0</v>
      </c>
      <c r="J96" s="99">
        <f t="shared" si="128"/>
        <v>0</v>
      </c>
      <c r="K96" s="99">
        <f t="shared" si="128"/>
        <v>0.5</v>
      </c>
      <c r="L96" s="99">
        <f t="shared" si="128"/>
        <v>0.5</v>
      </c>
      <c r="M96" s="99">
        <f t="shared" si="128"/>
        <v>0.5</v>
      </c>
      <c r="N96" s="99">
        <f t="shared" si="128"/>
        <v>0.5</v>
      </c>
      <c r="O96" s="99">
        <f t="shared" si="128"/>
        <v>0.5</v>
      </c>
      <c r="P96" s="99">
        <f t="shared" si="128"/>
        <v>0.5</v>
      </c>
      <c r="Q96" s="99">
        <f t="shared" si="128"/>
        <v>0.5</v>
      </c>
      <c r="R96" s="100">
        <f>Q96</f>
        <v>0.5</v>
      </c>
      <c r="S96" s="99">
        <f t="shared" ref="S96:AC96" si="129">S267</f>
        <v>1</v>
      </c>
      <c r="T96" s="99">
        <f t="shared" si="129"/>
        <v>1</v>
      </c>
      <c r="U96" s="99">
        <f t="shared" si="129"/>
        <v>1</v>
      </c>
      <c r="V96" s="99">
        <f t="shared" si="129"/>
        <v>1</v>
      </c>
      <c r="W96" s="99">
        <f t="shared" si="129"/>
        <v>1</v>
      </c>
      <c r="X96" s="99">
        <f t="shared" si="129"/>
        <v>1</v>
      </c>
      <c r="Y96" s="99">
        <f t="shared" si="129"/>
        <v>1</v>
      </c>
      <c r="Z96" s="99">
        <f t="shared" si="129"/>
        <v>1</v>
      </c>
      <c r="AA96" s="99">
        <f t="shared" si="129"/>
        <v>1</v>
      </c>
      <c r="AB96" s="99">
        <f t="shared" si="129"/>
        <v>1</v>
      </c>
      <c r="AC96" s="99">
        <f t="shared" si="129"/>
        <v>1</v>
      </c>
      <c r="AD96" s="99">
        <f>AD267</f>
        <v>1</v>
      </c>
      <c r="AE96" s="100">
        <f>AD96</f>
        <v>1</v>
      </c>
      <c r="AF96" s="100">
        <f>AF267</f>
        <v>2</v>
      </c>
      <c r="AG96" s="100">
        <f>AG267</f>
        <v>4</v>
      </c>
      <c r="AH96" s="100">
        <f>AH267</f>
        <v>4</v>
      </c>
      <c r="AI96" s="304" t="s">
        <v>321</v>
      </c>
    </row>
    <row r="97" spans="1:35">
      <c r="A97" s="96"/>
      <c r="B97" s="97" t="s">
        <v>193</v>
      </c>
      <c r="C97" s="98"/>
      <c r="D97" s="98"/>
      <c r="E97" s="98"/>
      <c r="F97" s="99">
        <f t="shared" ref="F97:Q97" si="130">F303</f>
        <v>0</v>
      </c>
      <c r="G97" s="99">
        <f t="shared" si="130"/>
        <v>0</v>
      </c>
      <c r="H97" s="99">
        <f t="shared" si="130"/>
        <v>0</v>
      </c>
      <c r="I97" s="99">
        <f t="shared" si="130"/>
        <v>0</v>
      </c>
      <c r="J97" s="99">
        <f t="shared" si="130"/>
        <v>0</v>
      </c>
      <c r="K97" s="99">
        <f t="shared" si="130"/>
        <v>2500</v>
      </c>
      <c r="L97" s="99">
        <f t="shared" si="130"/>
        <v>2500</v>
      </c>
      <c r="M97" s="99">
        <f t="shared" si="130"/>
        <v>2500</v>
      </c>
      <c r="N97" s="99">
        <f t="shared" si="130"/>
        <v>2500</v>
      </c>
      <c r="O97" s="99">
        <f t="shared" si="130"/>
        <v>2500</v>
      </c>
      <c r="P97" s="99">
        <f t="shared" si="130"/>
        <v>2500</v>
      </c>
      <c r="Q97" s="99">
        <f t="shared" si="130"/>
        <v>2500</v>
      </c>
      <c r="R97" s="100">
        <f t="shared" ref="R97:R103" si="131">SUM(F97:Q97)</f>
        <v>17500</v>
      </c>
      <c r="S97" s="99">
        <f t="shared" ref="S97:AD97" si="132">S303</f>
        <v>5200</v>
      </c>
      <c r="T97" s="99">
        <f t="shared" si="132"/>
        <v>5200</v>
      </c>
      <c r="U97" s="99">
        <f t="shared" si="132"/>
        <v>5200</v>
      </c>
      <c r="V97" s="99">
        <f t="shared" si="132"/>
        <v>5200</v>
      </c>
      <c r="W97" s="99">
        <f t="shared" si="132"/>
        <v>5200</v>
      </c>
      <c r="X97" s="99">
        <f t="shared" si="132"/>
        <v>5200</v>
      </c>
      <c r="Y97" s="99">
        <f t="shared" si="132"/>
        <v>5200</v>
      </c>
      <c r="Z97" s="99">
        <f t="shared" si="132"/>
        <v>5200</v>
      </c>
      <c r="AA97" s="99">
        <f t="shared" si="132"/>
        <v>5200</v>
      </c>
      <c r="AB97" s="99">
        <f t="shared" si="132"/>
        <v>5200</v>
      </c>
      <c r="AC97" s="99">
        <f t="shared" si="132"/>
        <v>5200</v>
      </c>
      <c r="AD97" s="99">
        <f t="shared" si="132"/>
        <v>5200</v>
      </c>
      <c r="AE97" s="100">
        <f t="shared" ref="AE97:AE103" si="133">SUM(S97:AD97)</f>
        <v>62400</v>
      </c>
      <c r="AF97" s="100">
        <f>AF303</f>
        <v>129792.00000000001</v>
      </c>
      <c r="AG97" s="100">
        <f>AG303</f>
        <v>269967.36000000004</v>
      </c>
      <c r="AH97" s="100">
        <f>AH303</f>
        <v>280766.05440000002</v>
      </c>
      <c r="AI97" s="304" t="s">
        <v>321</v>
      </c>
    </row>
    <row r="98" spans="1:35">
      <c r="A98" s="96"/>
      <c r="B98" s="114" t="s">
        <v>315</v>
      </c>
      <c r="C98" s="98"/>
      <c r="D98" s="98"/>
      <c r="E98" s="98"/>
      <c r="F98" s="115">
        <v>0</v>
      </c>
      <c r="G98" s="115">
        <v>0</v>
      </c>
      <c r="H98" s="115">
        <v>0</v>
      </c>
      <c r="I98" s="115">
        <v>0</v>
      </c>
      <c r="J98" s="115">
        <v>0</v>
      </c>
      <c r="K98" s="115">
        <v>0</v>
      </c>
      <c r="L98" s="115">
        <v>0</v>
      </c>
      <c r="M98" s="115">
        <v>0</v>
      </c>
      <c r="N98" s="115">
        <v>0</v>
      </c>
      <c r="O98" s="115">
        <v>0</v>
      </c>
      <c r="P98" s="115">
        <v>0</v>
      </c>
      <c r="Q98" s="115">
        <v>0</v>
      </c>
      <c r="R98" s="116">
        <f t="shared" si="131"/>
        <v>0</v>
      </c>
      <c r="S98" s="115">
        <v>0</v>
      </c>
      <c r="T98" s="115">
        <v>0</v>
      </c>
      <c r="U98" s="115">
        <v>0</v>
      </c>
      <c r="V98" s="115">
        <v>0</v>
      </c>
      <c r="W98" s="115">
        <v>0</v>
      </c>
      <c r="X98" s="115">
        <v>0</v>
      </c>
      <c r="Y98" s="115">
        <v>0</v>
      </c>
      <c r="Z98" s="115">
        <v>0</v>
      </c>
      <c r="AA98" s="115">
        <v>0</v>
      </c>
      <c r="AB98" s="115">
        <v>0</v>
      </c>
      <c r="AC98" s="115">
        <v>0</v>
      </c>
      <c r="AD98" s="115">
        <v>0</v>
      </c>
      <c r="AE98" s="100">
        <f t="shared" si="133"/>
        <v>0</v>
      </c>
      <c r="AF98" s="117">
        <v>0</v>
      </c>
      <c r="AG98" s="117">
        <v>0</v>
      </c>
      <c r="AH98" s="117">
        <v>0</v>
      </c>
      <c r="AI98" s="304" t="s">
        <v>321</v>
      </c>
    </row>
    <row r="99" spans="1:35">
      <c r="A99" s="96"/>
      <c r="B99" s="97" t="s">
        <v>194</v>
      </c>
      <c r="C99" s="98"/>
      <c r="D99" s="98"/>
      <c r="E99" s="98"/>
      <c r="F99" s="99">
        <f>SUM(F97:F98)*F$326</f>
        <v>0</v>
      </c>
      <c r="G99" s="99">
        <f>SUM(G97:G98)*G$326</f>
        <v>0</v>
      </c>
      <c r="H99" s="99">
        <f>SUM(H97:H98)*H$326</f>
        <v>0</v>
      </c>
      <c r="I99" s="99">
        <f>SUM(I97:I98)*I$326</f>
        <v>0</v>
      </c>
      <c r="J99" s="99">
        <f t="shared" ref="J99:Q99" si="134">SUM(J97:J98)*J$326</f>
        <v>0</v>
      </c>
      <c r="K99" s="99">
        <f t="shared" si="134"/>
        <v>625</v>
      </c>
      <c r="L99" s="99">
        <f t="shared" si="134"/>
        <v>625</v>
      </c>
      <c r="M99" s="99">
        <f t="shared" si="134"/>
        <v>625</v>
      </c>
      <c r="N99" s="99">
        <f t="shared" si="134"/>
        <v>625</v>
      </c>
      <c r="O99" s="99">
        <f t="shared" si="134"/>
        <v>625</v>
      </c>
      <c r="P99" s="99">
        <f t="shared" si="134"/>
        <v>625</v>
      </c>
      <c r="Q99" s="99">
        <f t="shared" si="134"/>
        <v>625</v>
      </c>
      <c r="R99" s="100">
        <f t="shared" si="131"/>
        <v>4375</v>
      </c>
      <c r="S99" s="99">
        <f t="shared" ref="S99:AD99" si="135">SUM(S97:S98)*S$326</f>
        <v>1300</v>
      </c>
      <c r="T99" s="99">
        <f t="shared" si="135"/>
        <v>1300</v>
      </c>
      <c r="U99" s="99">
        <f t="shared" si="135"/>
        <v>1300</v>
      </c>
      <c r="V99" s="99">
        <f t="shared" si="135"/>
        <v>1300</v>
      </c>
      <c r="W99" s="99">
        <f t="shared" si="135"/>
        <v>1300</v>
      </c>
      <c r="X99" s="99">
        <f t="shared" si="135"/>
        <v>1300</v>
      </c>
      <c r="Y99" s="99">
        <f t="shared" si="135"/>
        <v>1300</v>
      </c>
      <c r="Z99" s="99">
        <f t="shared" si="135"/>
        <v>1300</v>
      </c>
      <c r="AA99" s="99">
        <f t="shared" si="135"/>
        <v>1300</v>
      </c>
      <c r="AB99" s="99">
        <f t="shared" si="135"/>
        <v>1300</v>
      </c>
      <c r="AC99" s="99">
        <f t="shared" si="135"/>
        <v>1300</v>
      </c>
      <c r="AD99" s="99">
        <f t="shared" si="135"/>
        <v>1300</v>
      </c>
      <c r="AE99" s="100">
        <f t="shared" si="133"/>
        <v>15600</v>
      </c>
      <c r="AF99" s="100">
        <f>SUM(AF97:AF98)*AF$326</f>
        <v>32448.000000000004</v>
      </c>
      <c r="AG99" s="100">
        <f>SUM(AG97:AG98)*AG$326</f>
        <v>67491.840000000011</v>
      </c>
      <c r="AH99" s="100">
        <f>SUM(AH97:AH98)*AH$326</f>
        <v>70191.513600000006</v>
      </c>
      <c r="AI99" s="304" t="s">
        <v>321</v>
      </c>
    </row>
    <row r="100" spans="1:35">
      <c r="A100" s="96"/>
      <c r="B100" s="114" t="s">
        <v>404</v>
      </c>
      <c r="C100" s="98">
        <v>0</v>
      </c>
      <c r="D100" s="98">
        <v>500000</v>
      </c>
      <c r="E100" s="98"/>
      <c r="F100" s="115">
        <v>0</v>
      </c>
      <c r="G100" s="115">
        <v>0</v>
      </c>
      <c r="H100" s="115">
        <v>0</v>
      </c>
      <c r="I100" s="115">
        <v>0</v>
      </c>
      <c r="J100" s="115">
        <v>0</v>
      </c>
      <c r="K100" s="115">
        <v>0</v>
      </c>
      <c r="L100" s="115">
        <f>$C$100/6</f>
        <v>0</v>
      </c>
      <c r="M100" s="115">
        <f t="shared" ref="M100:Q100" si="136">$C$100/6</f>
        <v>0</v>
      </c>
      <c r="N100" s="115">
        <f t="shared" si="136"/>
        <v>0</v>
      </c>
      <c r="O100" s="115">
        <f t="shared" si="136"/>
        <v>0</v>
      </c>
      <c r="P100" s="115">
        <f t="shared" si="136"/>
        <v>0</v>
      </c>
      <c r="Q100" s="115">
        <f t="shared" si="136"/>
        <v>0</v>
      </c>
      <c r="R100" s="68">
        <f t="shared" si="131"/>
        <v>0</v>
      </c>
      <c r="S100" s="115">
        <f>$D$100/12</f>
        <v>41666.666666666664</v>
      </c>
      <c r="T100" s="115">
        <f t="shared" ref="T100:AD100" si="137">$D$100/12</f>
        <v>41666.666666666664</v>
      </c>
      <c r="U100" s="115">
        <f t="shared" si="137"/>
        <v>41666.666666666664</v>
      </c>
      <c r="V100" s="115">
        <f t="shared" si="137"/>
        <v>41666.666666666664</v>
      </c>
      <c r="W100" s="115">
        <f t="shared" si="137"/>
        <v>41666.666666666664</v>
      </c>
      <c r="X100" s="115">
        <f t="shared" si="137"/>
        <v>41666.666666666664</v>
      </c>
      <c r="Y100" s="115">
        <f t="shared" si="137"/>
        <v>41666.666666666664</v>
      </c>
      <c r="Z100" s="115">
        <f t="shared" si="137"/>
        <v>41666.666666666664</v>
      </c>
      <c r="AA100" s="115">
        <f t="shared" si="137"/>
        <v>41666.666666666664</v>
      </c>
      <c r="AB100" s="115">
        <f t="shared" si="137"/>
        <v>41666.666666666664</v>
      </c>
      <c r="AC100" s="115">
        <f t="shared" si="137"/>
        <v>41666.666666666664</v>
      </c>
      <c r="AD100" s="115">
        <f t="shared" si="137"/>
        <v>41666.666666666664</v>
      </c>
      <c r="AE100" s="100">
        <f t="shared" si="133"/>
        <v>500000.00000000006</v>
      </c>
      <c r="AF100" s="117">
        <f t="shared" ref="AF100:AH101" si="138">AE100*1.5</f>
        <v>750000.00000000012</v>
      </c>
      <c r="AG100" s="117">
        <f t="shared" si="138"/>
        <v>1125000.0000000002</v>
      </c>
      <c r="AH100" s="117">
        <f t="shared" si="138"/>
        <v>1687500.0000000005</v>
      </c>
      <c r="AI100" s="304" t="s">
        <v>321</v>
      </c>
    </row>
    <row r="101" spans="1:35">
      <c r="A101" s="96"/>
      <c r="B101" s="97" t="s">
        <v>316</v>
      </c>
      <c r="C101" s="119">
        <f>Assumptions!E69</f>
        <v>400</v>
      </c>
      <c r="D101" s="98"/>
      <c r="E101" s="98"/>
      <c r="F101" s="99">
        <f>$C101*F$96</f>
        <v>0</v>
      </c>
      <c r="G101" s="99">
        <f t="shared" ref="G101:AD101" si="139">$C101*G$96</f>
        <v>0</v>
      </c>
      <c r="H101" s="99">
        <f t="shared" si="139"/>
        <v>0</v>
      </c>
      <c r="I101" s="99">
        <f t="shared" si="139"/>
        <v>0</v>
      </c>
      <c r="J101" s="99">
        <f t="shared" si="139"/>
        <v>0</v>
      </c>
      <c r="K101" s="99">
        <f t="shared" si="139"/>
        <v>200</v>
      </c>
      <c r="L101" s="99">
        <f t="shared" si="139"/>
        <v>200</v>
      </c>
      <c r="M101" s="99">
        <f t="shared" si="139"/>
        <v>200</v>
      </c>
      <c r="N101" s="99">
        <f t="shared" si="139"/>
        <v>200</v>
      </c>
      <c r="O101" s="99">
        <f t="shared" si="139"/>
        <v>200</v>
      </c>
      <c r="P101" s="99">
        <f t="shared" si="139"/>
        <v>200</v>
      </c>
      <c r="Q101" s="99">
        <f t="shared" si="139"/>
        <v>200</v>
      </c>
      <c r="R101" s="100">
        <f t="shared" si="131"/>
        <v>1400</v>
      </c>
      <c r="S101" s="99">
        <f t="shared" si="139"/>
        <v>400</v>
      </c>
      <c r="T101" s="99">
        <f t="shared" si="139"/>
        <v>400</v>
      </c>
      <c r="U101" s="99">
        <f t="shared" si="139"/>
        <v>400</v>
      </c>
      <c r="V101" s="99">
        <f t="shared" si="139"/>
        <v>400</v>
      </c>
      <c r="W101" s="99">
        <f t="shared" si="139"/>
        <v>400</v>
      </c>
      <c r="X101" s="99">
        <f t="shared" si="139"/>
        <v>400</v>
      </c>
      <c r="Y101" s="99">
        <f t="shared" si="139"/>
        <v>400</v>
      </c>
      <c r="Z101" s="99">
        <f t="shared" si="139"/>
        <v>400</v>
      </c>
      <c r="AA101" s="99">
        <f t="shared" si="139"/>
        <v>400</v>
      </c>
      <c r="AB101" s="99">
        <f t="shared" si="139"/>
        <v>400</v>
      </c>
      <c r="AC101" s="99">
        <f t="shared" si="139"/>
        <v>400</v>
      </c>
      <c r="AD101" s="99">
        <f t="shared" si="139"/>
        <v>400</v>
      </c>
      <c r="AE101" s="100">
        <f t="shared" si="133"/>
        <v>4800</v>
      </c>
      <c r="AF101" s="100">
        <f t="shared" si="138"/>
        <v>7200</v>
      </c>
      <c r="AG101" s="100">
        <f t="shared" si="138"/>
        <v>10800</v>
      </c>
      <c r="AH101" s="100">
        <f t="shared" si="138"/>
        <v>16200</v>
      </c>
      <c r="AI101" s="304" t="s">
        <v>321</v>
      </c>
    </row>
    <row r="102" spans="1:35">
      <c r="A102" s="96"/>
      <c r="B102" s="97" t="s">
        <v>60</v>
      </c>
      <c r="C102" s="119">
        <f>Assumptions!F69</f>
        <v>250</v>
      </c>
      <c r="D102" s="98"/>
      <c r="E102" s="98"/>
      <c r="F102" s="99">
        <f t="shared" ref="F102:I103" si="140">$C102*F$96</f>
        <v>0</v>
      </c>
      <c r="G102" s="99">
        <f t="shared" si="140"/>
        <v>0</v>
      </c>
      <c r="H102" s="99">
        <f t="shared" si="140"/>
        <v>0</v>
      </c>
      <c r="I102" s="99">
        <f t="shared" si="140"/>
        <v>0</v>
      </c>
      <c r="J102" s="99">
        <f t="shared" ref="J102:Q103" si="141">$C102*J$96</f>
        <v>0</v>
      </c>
      <c r="K102" s="99">
        <f t="shared" si="141"/>
        <v>125</v>
      </c>
      <c r="L102" s="99">
        <f t="shared" si="141"/>
        <v>125</v>
      </c>
      <c r="M102" s="99">
        <f t="shared" si="141"/>
        <v>125</v>
      </c>
      <c r="N102" s="99">
        <f t="shared" si="141"/>
        <v>125</v>
      </c>
      <c r="O102" s="99">
        <f t="shared" si="141"/>
        <v>125</v>
      </c>
      <c r="P102" s="99">
        <f t="shared" si="141"/>
        <v>125</v>
      </c>
      <c r="Q102" s="99">
        <f t="shared" si="141"/>
        <v>125</v>
      </c>
      <c r="R102" s="100">
        <f t="shared" si="131"/>
        <v>875</v>
      </c>
      <c r="S102" s="99">
        <f t="shared" ref="S102:AD103" si="142">$C102*S$96</f>
        <v>250</v>
      </c>
      <c r="T102" s="99">
        <f t="shared" si="142"/>
        <v>250</v>
      </c>
      <c r="U102" s="99">
        <f t="shared" si="142"/>
        <v>250</v>
      </c>
      <c r="V102" s="99">
        <f t="shared" si="142"/>
        <v>250</v>
      </c>
      <c r="W102" s="99">
        <f t="shared" si="142"/>
        <v>250</v>
      </c>
      <c r="X102" s="99">
        <f t="shared" si="142"/>
        <v>250</v>
      </c>
      <c r="Y102" s="99">
        <f t="shared" si="142"/>
        <v>250</v>
      </c>
      <c r="Z102" s="99">
        <f t="shared" si="142"/>
        <v>250</v>
      </c>
      <c r="AA102" s="99">
        <f t="shared" si="142"/>
        <v>250</v>
      </c>
      <c r="AB102" s="99">
        <f t="shared" si="142"/>
        <v>250</v>
      </c>
      <c r="AC102" s="99">
        <f t="shared" si="142"/>
        <v>250</v>
      </c>
      <c r="AD102" s="99">
        <f t="shared" si="142"/>
        <v>250</v>
      </c>
      <c r="AE102" s="100">
        <f t="shared" si="133"/>
        <v>3000</v>
      </c>
      <c r="AF102" s="100">
        <f t="shared" ref="AF102:AH103" si="143">$C102*AF$96*12</f>
        <v>6000</v>
      </c>
      <c r="AG102" s="100">
        <f t="shared" si="143"/>
        <v>12000</v>
      </c>
      <c r="AH102" s="100">
        <f t="shared" si="143"/>
        <v>12000</v>
      </c>
      <c r="AI102" s="304" t="s">
        <v>321</v>
      </c>
    </row>
    <row r="103" spans="1:35">
      <c r="A103" s="96"/>
      <c r="B103" s="97" t="s">
        <v>154</v>
      </c>
      <c r="C103" s="119">
        <f>Assumptions!G69</f>
        <v>100</v>
      </c>
      <c r="D103" s="98"/>
      <c r="E103" s="98"/>
      <c r="F103" s="99">
        <f t="shared" si="140"/>
        <v>0</v>
      </c>
      <c r="G103" s="99">
        <f t="shared" si="140"/>
        <v>0</v>
      </c>
      <c r="H103" s="99">
        <f t="shared" si="140"/>
        <v>0</v>
      </c>
      <c r="I103" s="99">
        <f t="shared" si="140"/>
        <v>0</v>
      </c>
      <c r="J103" s="99">
        <f t="shared" si="141"/>
        <v>0</v>
      </c>
      <c r="K103" s="99">
        <f t="shared" si="141"/>
        <v>50</v>
      </c>
      <c r="L103" s="99">
        <f t="shared" si="141"/>
        <v>50</v>
      </c>
      <c r="M103" s="99">
        <f t="shared" si="141"/>
        <v>50</v>
      </c>
      <c r="N103" s="99">
        <f t="shared" si="141"/>
        <v>50</v>
      </c>
      <c r="O103" s="99">
        <f t="shared" si="141"/>
        <v>50</v>
      </c>
      <c r="P103" s="99">
        <f t="shared" si="141"/>
        <v>50</v>
      </c>
      <c r="Q103" s="99">
        <f t="shared" si="141"/>
        <v>50</v>
      </c>
      <c r="R103" s="100">
        <f t="shared" si="131"/>
        <v>350</v>
      </c>
      <c r="S103" s="99">
        <f t="shared" si="142"/>
        <v>100</v>
      </c>
      <c r="T103" s="99">
        <f t="shared" si="142"/>
        <v>100</v>
      </c>
      <c r="U103" s="99">
        <f t="shared" si="142"/>
        <v>100</v>
      </c>
      <c r="V103" s="99">
        <f t="shared" si="142"/>
        <v>100</v>
      </c>
      <c r="W103" s="99">
        <f t="shared" si="142"/>
        <v>100</v>
      </c>
      <c r="X103" s="99">
        <f t="shared" si="142"/>
        <v>100</v>
      </c>
      <c r="Y103" s="99">
        <f t="shared" si="142"/>
        <v>100</v>
      </c>
      <c r="Z103" s="99">
        <f t="shared" si="142"/>
        <v>100</v>
      </c>
      <c r="AA103" s="99">
        <f t="shared" si="142"/>
        <v>100</v>
      </c>
      <c r="AB103" s="99">
        <f t="shared" si="142"/>
        <v>100</v>
      </c>
      <c r="AC103" s="99">
        <f t="shared" si="142"/>
        <v>100</v>
      </c>
      <c r="AD103" s="99">
        <f t="shared" si="142"/>
        <v>100</v>
      </c>
      <c r="AE103" s="100">
        <f t="shared" si="133"/>
        <v>1200</v>
      </c>
      <c r="AF103" s="100">
        <f t="shared" si="143"/>
        <v>2400</v>
      </c>
      <c r="AG103" s="100">
        <f t="shared" si="143"/>
        <v>4800</v>
      </c>
      <c r="AH103" s="100">
        <f t="shared" si="143"/>
        <v>4800</v>
      </c>
      <c r="AI103" s="304" t="s">
        <v>321</v>
      </c>
    </row>
    <row r="104" spans="1:35">
      <c r="A104" s="96"/>
      <c r="B104" s="97" t="s">
        <v>195</v>
      </c>
      <c r="C104" s="98"/>
      <c r="D104" s="98"/>
      <c r="E104" s="98"/>
      <c r="F104" s="99">
        <f t="shared" ref="F104:Q104" si="144">F366</f>
        <v>0</v>
      </c>
      <c r="G104" s="99">
        <f>G366</f>
        <v>0</v>
      </c>
      <c r="H104" s="99">
        <f t="shared" si="144"/>
        <v>0</v>
      </c>
      <c r="I104" s="99">
        <f t="shared" si="144"/>
        <v>0</v>
      </c>
      <c r="J104" s="99">
        <f t="shared" si="144"/>
        <v>0</v>
      </c>
      <c r="K104" s="99">
        <f t="shared" si="144"/>
        <v>9.0277777777777786</v>
      </c>
      <c r="L104" s="99">
        <f t="shared" si="144"/>
        <v>9.0277777777777786</v>
      </c>
      <c r="M104" s="99">
        <f t="shared" si="144"/>
        <v>9.0277777777777786</v>
      </c>
      <c r="N104" s="99">
        <f t="shared" si="144"/>
        <v>9.0277777777777786</v>
      </c>
      <c r="O104" s="99">
        <f t="shared" si="144"/>
        <v>9.0277777777777786</v>
      </c>
      <c r="P104" s="99">
        <f t="shared" si="144"/>
        <v>9.0277777777777786</v>
      </c>
      <c r="Q104" s="99">
        <f t="shared" si="144"/>
        <v>9.0277777777777786</v>
      </c>
      <c r="R104" s="100">
        <f>SUM(F104:Q104)</f>
        <v>63.19444444444445</v>
      </c>
      <c r="S104" s="99">
        <f t="shared" ref="S104:AD104" ca="1" si="145">S366</f>
        <v>18.055555555555557</v>
      </c>
      <c r="T104" s="99">
        <f t="shared" ca="1" si="145"/>
        <v>18.055555555555557</v>
      </c>
      <c r="U104" s="99">
        <f t="shared" ca="1" si="145"/>
        <v>18.055555555555557</v>
      </c>
      <c r="V104" s="99">
        <f t="shared" ca="1" si="145"/>
        <v>18.055555555555557</v>
      </c>
      <c r="W104" s="99">
        <f t="shared" ca="1" si="145"/>
        <v>18.055555555555557</v>
      </c>
      <c r="X104" s="99">
        <f t="shared" ca="1" si="145"/>
        <v>18.055555555555557</v>
      </c>
      <c r="Y104" s="99">
        <f t="shared" ca="1" si="145"/>
        <v>18.055555555555557</v>
      </c>
      <c r="Z104" s="99">
        <f t="shared" ca="1" si="145"/>
        <v>18.055555555555557</v>
      </c>
      <c r="AA104" s="99">
        <f t="shared" ca="1" si="145"/>
        <v>18.055555555555557</v>
      </c>
      <c r="AB104" s="99">
        <f t="shared" ca="1" si="145"/>
        <v>18.055555555555557</v>
      </c>
      <c r="AC104" s="99">
        <f t="shared" ca="1" si="145"/>
        <v>18.055555555555557</v>
      </c>
      <c r="AD104" s="99">
        <f t="shared" ca="1" si="145"/>
        <v>18.055555555555557</v>
      </c>
      <c r="AE104" s="100">
        <f ca="1">SUM(S104:AD104)</f>
        <v>216.66666666666663</v>
      </c>
      <c r="AF104" s="100">
        <f>AF366</f>
        <v>433.33333333333337</v>
      </c>
      <c r="AG104" s="100">
        <f>AG366</f>
        <v>833.33333333333337</v>
      </c>
      <c r="AH104" s="100">
        <f>AH366</f>
        <v>800</v>
      </c>
      <c r="AI104" s="304" t="s">
        <v>321</v>
      </c>
    </row>
    <row r="105" spans="1:35">
      <c r="A105" s="83" t="s">
        <v>196</v>
      </c>
      <c r="B105" s="102"/>
      <c r="C105" s="85"/>
      <c r="D105" s="85"/>
      <c r="E105" s="85"/>
      <c r="F105" s="103">
        <f t="shared" ref="F105:Q105" si="146">SUM(F97:F104)</f>
        <v>0</v>
      </c>
      <c r="G105" s="103">
        <f t="shared" si="146"/>
        <v>0</v>
      </c>
      <c r="H105" s="103">
        <f t="shared" si="146"/>
        <v>0</v>
      </c>
      <c r="I105" s="103">
        <f>SUM(I97:I104)</f>
        <v>0</v>
      </c>
      <c r="J105" s="103">
        <f t="shared" si="146"/>
        <v>0</v>
      </c>
      <c r="K105" s="103">
        <f t="shared" si="146"/>
        <v>3509.0277777777778</v>
      </c>
      <c r="L105" s="103">
        <f t="shared" si="146"/>
        <v>3509.0277777777778</v>
      </c>
      <c r="M105" s="103">
        <f t="shared" si="146"/>
        <v>3509.0277777777778</v>
      </c>
      <c r="N105" s="103">
        <f t="shared" si="146"/>
        <v>3509.0277777777778</v>
      </c>
      <c r="O105" s="103">
        <f t="shared" si="146"/>
        <v>3509.0277777777778</v>
      </c>
      <c r="P105" s="103">
        <f t="shared" si="146"/>
        <v>3509.0277777777778</v>
      </c>
      <c r="Q105" s="103">
        <f t="shared" si="146"/>
        <v>3509.0277777777778</v>
      </c>
      <c r="R105" s="104">
        <f>SUM(F105:Q105)</f>
        <v>24563.194444444445</v>
      </c>
      <c r="S105" s="103">
        <f t="shared" ref="S105:AD105" ca="1" si="147">SUM(S97:S104)</f>
        <v>48934.722222222219</v>
      </c>
      <c r="T105" s="103">
        <f t="shared" ca="1" si="147"/>
        <v>48934.722222222219</v>
      </c>
      <c r="U105" s="103">
        <f t="shared" ca="1" si="147"/>
        <v>48934.722222222219</v>
      </c>
      <c r="V105" s="103">
        <f t="shared" ca="1" si="147"/>
        <v>48934.722222222219</v>
      </c>
      <c r="W105" s="103">
        <f t="shared" ca="1" si="147"/>
        <v>48934.722222222219</v>
      </c>
      <c r="X105" s="103">
        <f t="shared" ca="1" si="147"/>
        <v>48934.722222222219</v>
      </c>
      <c r="Y105" s="103">
        <f t="shared" ca="1" si="147"/>
        <v>48934.722222222219</v>
      </c>
      <c r="Z105" s="103">
        <f t="shared" ca="1" si="147"/>
        <v>48934.722222222219</v>
      </c>
      <c r="AA105" s="103">
        <f t="shared" ca="1" si="147"/>
        <v>48934.722222222219</v>
      </c>
      <c r="AB105" s="103">
        <f t="shared" ca="1" si="147"/>
        <v>48934.722222222219</v>
      </c>
      <c r="AC105" s="103">
        <f t="shared" ca="1" si="147"/>
        <v>48934.722222222219</v>
      </c>
      <c r="AD105" s="103">
        <f t="shared" ca="1" si="147"/>
        <v>48934.722222222219</v>
      </c>
      <c r="AE105" s="104">
        <f ca="1">SUM(S105:AD105)</f>
        <v>587216.66666666674</v>
      </c>
      <c r="AF105" s="104">
        <f>SUM(AF97:AF104)</f>
        <v>928273.33333333349</v>
      </c>
      <c r="AG105" s="104">
        <f>SUM(AG97:AG104)</f>
        <v>1490892.5333333334</v>
      </c>
      <c r="AH105" s="104">
        <f>SUM(AH97:AH104)</f>
        <v>2072257.5680000004</v>
      </c>
      <c r="AI105" s="304" t="s">
        <v>321</v>
      </c>
    </row>
    <row r="106" spans="1:35">
      <c r="A106" s="120"/>
      <c r="B106" s="121" t="s">
        <v>197</v>
      </c>
      <c r="C106" s="98"/>
      <c r="D106" s="98"/>
      <c r="E106" s="98"/>
      <c r="F106" s="122">
        <f t="shared" ref="F106:O106" si="148">IF(F$92&gt;0,F105/F$92,0)</f>
        <v>0</v>
      </c>
      <c r="G106" s="122">
        <f t="shared" si="148"/>
        <v>0</v>
      </c>
      <c r="H106" s="122">
        <f t="shared" si="148"/>
        <v>0</v>
      </c>
      <c r="I106" s="122">
        <f t="shared" si="148"/>
        <v>0</v>
      </c>
      <c r="J106" s="122">
        <f t="shared" si="148"/>
        <v>0</v>
      </c>
      <c r="K106" s="122">
        <f t="shared" si="148"/>
        <v>0.33419312169312171</v>
      </c>
      <c r="L106" s="122">
        <f t="shared" si="148"/>
        <v>0.26735449735449734</v>
      </c>
      <c r="M106" s="122">
        <f t="shared" si="148"/>
        <v>8.3548280423280427E-2</v>
      </c>
      <c r="N106" s="122">
        <f t="shared" si="148"/>
        <v>7.8633675692499225E-2</v>
      </c>
      <c r="O106" s="122">
        <f t="shared" si="148"/>
        <v>7.4265138154027049E-2</v>
      </c>
      <c r="P106" s="122">
        <f t="shared" ref="P106:Y106" si="149">IF(P$92&gt;0,P105/P$92,0)</f>
        <v>3.7132569077013525E-2</v>
      </c>
      <c r="Q106" s="122">
        <f t="shared" si="149"/>
        <v>3.3419312169312168E-2</v>
      </c>
      <c r="R106" s="123">
        <f t="shared" si="149"/>
        <v>6.6364591541896514E-2</v>
      </c>
      <c r="S106" s="122">
        <f t="shared" ca="1" si="149"/>
        <v>0.39495336741099452</v>
      </c>
      <c r="T106" s="122">
        <f t="shared" ca="1" si="149"/>
        <v>0.33470624356863943</v>
      </c>
      <c r="U106" s="122">
        <f t="shared" ca="1" si="149"/>
        <v>0.28364970423240815</v>
      </c>
      <c r="V106" s="122">
        <f t="shared" ca="1" si="149"/>
        <v>0.2403805349472212</v>
      </c>
      <c r="W106" s="122">
        <f t="shared" ca="1" si="149"/>
        <v>0.20371235336966007</v>
      </c>
      <c r="X106" s="122">
        <f t="shared" ca="1" si="149"/>
        <v>0.17263738296054673</v>
      </c>
      <c r="Y106" s="122">
        <f t="shared" ca="1" si="149"/>
        <v>0.14630290365815307</v>
      </c>
      <c r="Z106" s="122">
        <f t="shared" ref="Z106:AE106" ca="1" si="150">IF(Z$92&gt;0,Z105/Z$92,0)</f>
        <v>0.12398539282948691</v>
      </c>
      <c r="AA106" s="122">
        <f t="shared" ca="1" si="150"/>
        <v>0.10507228626165288</v>
      </c>
      <c r="AB106" s="122">
        <f t="shared" ca="1" si="150"/>
        <v>8.9044388651752251E-2</v>
      </c>
      <c r="AC106" s="122">
        <f t="shared" ca="1" si="150"/>
        <v>7.5461382970847105E-2</v>
      </c>
      <c r="AD106" s="122">
        <f t="shared" ca="1" si="150"/>
        <v>6.3950317531395545E-2</v>
      </c>
      <c r="AE106" s="123">
        <f t="shared" ca="1" si="150"/>
        <v>0.13567950708208479</v>
      </c>
      <c r="AF106" s="123">
        <f>IF(AF$92&gt;0,AF105/AF$92,0)</f>
        <v>8.767585517071555E-2</v>
      </c>
      <c r="AG106" s="123">
        <f>IF(AG$92&gt;0,AG105/AG$92,0)</f>
        <v>9.7104089258607501E-2</v>
      </c>
      <c r="AH106" s="123">
        <f>IF(AH$92&gt;0,AH105/AH$92,0)</f>
        <v>0.10163118039799195</v>
      </c>
      <c r="AI106" s="304" t="s">
        <v>321</v>
      </c>
    </row>
    <row r="107" spans="1:35">
      <c r="A107" s="96"/>
      <c r="B107" s="97"/>
      <c r="C107" s="98"/>
      <c r="D107" s="98"/>
      <c r="E107" s="98"/>
      <c r="F107" s="99"/>
      <c r="G107" s="99"/>
      <c r="H107" s="99"/>
      <c r="I107" s="99"/>
      <c r="J107" s="99"/>
      <c r="K107" s="99"/>
      <c r="L107" s="99"/>
      <c r="M107" s="99"/>
      <c r="N107" s="99"/>
      <c r="O107" s="99"/>
      <c r="P107" s="99"/>
      <c r="Q107" s="99"/>
      <c r="R107" s="100"/>
      <c r="S107" s="99"/>
      <c r="T107" s="99"/>
      <c r="U107" s="99"/>
      <c r="V107" s="99"/>
      <c r="W107" s="99"/>
      <c r="X107" s="99"/>
      <c r="Y107" s="99"/>
      <c r="Z107" s="99"/>
      <c r="AA107" s="99"/>
      <c r="AB107" s="99"/>
      <c r="AC107" s="99"/>
      <c r="AD107" s="99"/>
      <c r="AE107" s="100"/>
      <c r="AF107" s="100"/>
      <c r="AG107" s="100"/>
      <c r="AH107" s="100"/>
      <c r="AI107" s="304" t="s">
        <v>321</v>
      </c>
    </row>
    <row r="108" spans="1:35">
      <c r="A108" s="96" t="str">
        <f>UPPER($A$269)</f>
        <v>SALES &amp; MARKETING</v>
      </c>
      <c r="B108" s="97"/>
      <c r="C108" s="98"/>
      <c r="D108" s="98"/>
      <c r="E108" s="98"/>
      <c r="F108" s="99"/>
      <c r="G108" s="99"/>
      <c r="H108" s="99"/>
      <c r="I108" s="99"/>
      <c r="J108" s="99"/>
      <c r="K108" s="99"/>
      <c r="L108" s="99"/>
      <c r="M108" s="99"/>
      <c r="N108" s="99"/>
      <c r="O108" s="99"/>
      <c r="P108" s="99"/>
      <c r="Q108" s="99"/>
      <c r="R108" s="100"/>
      <c r="S108" s="99"/>
      <c r="T108" s="99"/>
      <c r="U108" s="99"/>
      <c r="V108" s="99"/>
      <c r="W108" s="99"/>
      <c r="X108" s="99"/>
      <c r="Y108" s="99"/>
      <c r="Z108" s="99"/>
      <c r="AA108" s="99"/>
      <c r="AB108" s="99"/>
      <c r="AC108" s="99"/>
      <c r="AD108" s="124"/>
      <c r="AE108" s="125"/>
      <c r="AF108" s="126"/>
      <c r="AG108" s="100"/>
      <c r="AH108" s="100"/>
      <c r="AI108" s="304" t="s">
        <v>321</v>
      </c>
    </row>
    <row r="109" spans="1:35">
      <c r="A109" s="96"/>
      <c r="B109" s="97" t="s">
        <v>192</v>
      </c>
      <c r="C109" s="98"/>
      <c r="D109" s="98"/>
      <c r="E109" s="98"/>
      <c r="F109" s="99">
        <f t="shared" ref="F109:Q109" si="151">F276</f>
        <v>0.5</v>
      </c>
      <c r="G109" s="99">
        <f t="shared" si="151"/>
        <v>0.5</v>
      </c>
      <c r="H109" s="99">
        <f t="shared" si="151"/>
        <v>0.5</v>
      </c>
      <c r="I109" s="99">
        <f t="shared" si="151"/>
        <v>0.5</v>
      </c>
      <c r="J109" s="99">
        <f t="shared" si="151"/>
        <v>0.5</v>
      </c>
      <c r="K109" s="99">
        <f t="shared" si="151"/>
        <v>1</v>
      </c>
      <c r="L109" s="99">
        <f t="shared" si="151"/>
        <v>1</v>
      </c>
      <c r="M109" s="99">
        <f t="shared" si="151"/>
        <v>1</v>
      </c>
      <c r="N109" s="99">
        <f t="shared" si="151"/>
        <v>1</v>
      </c>
      <c r="O109" s="99">
        <f t="shared" si="151"/>
        <v>1</v>
      </c>
      <c r="P109" s="99">
        <f t="shared" si="151"/>
        <v>1</v>
      </c>
      <c r="Q109" s="99">
        <f t="shared" si="151"/>
        <v>1</v>
      </c>
      <c r="R109" s="100">
        <f>Q109</f>
        <v>1</v>
      </c>
      <c r="S109" s="99">
        <f t="shared" ref="S109:AD109" si="152">S276</f>
        <v>2</v>
      </c>
      <c r="T109" s="99">
        <f t="shared" si="152"/>
        <v>3</v>
      </c>
      <c r="U109" s="99">
        <f t="shared" si="152"/>
        <v>4</v>
      </c>
      <c r="V109" s="99">
        <f t="shared" si="152"/>
        <v>4</v>
      </c>
      <c r="W109" s="99">
        <f t="shared" si="152"/>
        <v>4</v>
      </c>
      <c r="X109" s="99">
        <f t="shared" si="152"/>
        <v>4</v>
      </c>
      <c r="Y109" s="99">
        <f t="shared" si="152"/>
        <v>4</v>
      </c>
      <c r="Z109" s="99">
        <f t="shared" si="152"/>
        <v>4</v>
      </c>
      <c r="AA109" s="99">
        <f t="shared" si="152"/>
        <v>4</v>
      </c>
      <c r="AB109" s="99">
        <f t="shared" si="152"/>
        <v>4</v>
      </c>
      <c r="AC109" s="99">
        <f t="shared" si="152"/>
        <v>4</v>
      </c>
      <c r="AD109" s="99">
        <f t="shared" si="152"/>
        <v>4</v>
      </c>
      <c r="AE109" s="100">
        <f>AD109</f>
        <v>4</v>
      </c>
      <c r="AF109" s="100">
        <f>AF276</f>
        <v>6</v>
      </c>
      <c r="AG109" s="100">
        <f>AG276</f>
        <v>9</v>
      </c>
      <c r="AH109" s="100">
        <f>AH276</f>
        <v>11</v>
      </c>
      <c r="AI109" s="304" t="s">
        <v>321</v>
      </c>
    </row>
    <row r="110" spans="1:35">
      <c r="A110" s="96"/>
      <c r="B110" s="97" t="s">
        <v>193</v>
      </c>
      <c r="C110" s="98"/>
      <c r="D110" s="98"/>
      <c r="E110" s="98"/>
      <c r="F110" s="99">
        <f t="shared" ref="F110:Q110" si="153">F312</f>
        <v>0</v>
      </c>
      <c r="G110" s="99">
        <f t="shared" si="153"/>
        <v>0</v>
      </c>
      <c r="H110" s="99">
        <f t="shared" si="153"/>
        <v>0</v>
      </c>
      <c r="I110" s="99">
        <f t="shared" si="153"/>
        <v>0</v>
      </c>
      <c r="J110" s="99">
        <f t="shared" si="153"/>
        <v>0</v>
      </c>
      <c r="K110" s="99">
        <f t="shared" si="153"/>
        <v>2500</v>
      </c>
      <c r="L110" s="99">
        <f t="shared" si="153"/>
        <v>2500</v>
      </c>
      <c r="M110" s="99">
        <f t="shared" si="153"/>
        <v>2500</v>
      </c>
      <c r="N110" s="99">
        <f t="shared" si="153"/>
        <v>2500</v>
      </c>
      <c r="O110" s="99">
        <f t="shared" si="153"/>
        <v>2500</v>
      </c>
      <c r="P110" s="99">
        <f t="shared" si="153"/>
        <v>2500</v>
      </c>
      <c r="Q110" s="99">
        <f t="shared" si="153"/>
        <v>2500</v>
      </c>
      <c r="R110" s="100">
        <f t="shared" ref="R110:R117" si="154">SUM(F110:Q110)</f>
        <v>17500</v>
      </c>
      <c r="S110" s="99">
        <f t="shared" ref="S110:AD110" si="155">S312</f>
        <v>9533.3333333333339</v>
      </c>
      <c r="T110" s="99">
        <f t="shared" si="155"/>
        <v>13866.666666666668</v>
      </c>
      <c r="U110" s="99">
        <f t="shared" si="155"/>
        <v>18200</v>
      </c>
      <c r="V110" s="99">
        <f t="shared" si="155"/>
        <v>18200</v>
      </c>
      <c r="W110" s="99">
        <f t="shared" si="155"/>
        <v>18200</v>
      </c>
      <c r="X110" s="99">
        <f t="shared" si="155"/>
        <v>18200</v>
      </c>
      <c r="Y110" s="99">
        <f t="shared" si="155"/>
        <v>18200</v>
      </c>
      <c r="Z110" s="99">
        <f t="shared" si="155"/>
        <v>18200</v>
      </c>
      <c r="AA110" s="99">
        <f t="shared" si="155"/>
        <v>18200</v>
      </c>
      <c r="AB110" s="99">
        <f t="shared" si="155"/>
        <v>18200</v>
      </c>
      <c r="AC110" s="99">
        <f t="shared" si="155"/>
        <v>18200</v>
      </c>
      <c r="AD110" s="99">
        <f t="shared" si="155"/>
        <v>18200</v>
      </c>
      <c r="AE110" s="100">
        <f t="shared" ref="AE110:AE117" si="156">SUM(S110:AD110)</f>
        <v>205400</v>
      </c>
      <c r="AF110" s="100">
        <f>AF312</f>
        <v>335296.00000000006</v>
      </c>
      <c r="AG110" s="100">
        <f>AG312</f>
        <v>528686.08000000007</v>
      </c>
      <c r="AH110" s="100">
        <f>AH312</f>
        <v>666819.37920000008</v>
      </c>
      <c r="AI110" s="304" t="s">
        <v>321</v>
      </c>
    </row>
    <row r="111" spans="1:35">
      <c r="A111" s="96"/>
      <c r="B111" s="97" t="s">
        <v>198</v>
      </c>
      <c r="C111" s="127">
        <f>Assumptions!I82</f>
        <v>0</v>
      </c>
      <c r="D111" s="128">
        <f>Assumptions!I83</f>
        <v>0</v>
      </c>
      <c r="E111" s="70"/>
      <c r="F111" s="99">
        <f>$C$111*F92</f>
        <v>0</v>
      </c>
      <c r="G111" s="99">
        <f t="shared" ref="G111:AH111" si="157">$C$111*G92</f>
        <v>0</v>
      </c>
      <c r="H111" s="99">
        <f t="shared" si="157"/>
        <v>0</v>
      </c>
      <c r="I111" s="99">
        <f t="shared" si="157"/>
        <v>0</v>
      </c>
      <c r="J111" s="99">
        <f t="shared" si="157"/>
        <v>0</v>
      </c>
      <c r="K111" s="99">
        <f t="shared" si="157"/>
        <v>0</v>
      </c>
      <c r="L111" s="99">
        <f t="shared" si="157"/>
        <v>0</v>
      </c>
      <c r="M111" s="99">
        <f t="shared" si="157"/>
        <v>0</v>
      </c>
      <c r="N111" s="99">
        <f t="shared" si="157"/>
        <v>0</v>
      </c>
      <c r="O111" s="99">
        <f t="shared" si="157"/>
        <v>0</v>
      </c>
      <c r="P111" s="99">
        <f t="shared" si="157"/>
        <v>0</v>
      </c>
      <c r="Q111" s="99">
        <f t="shared" si="157"/>
        <v>0</v>
      </c>
      <c r="R111" s="100">
        <f t="shared" si="154"/>
        <v>0</v>
      </c>
      <c r="S111" s="99">
        <f t="shared" si="157"/>
        <v>0</v>
      </c>
      <c r="T111" s="99">
        <f t="shared" si="157"/>
        <v>0</v>
      </c>
      <c r="U111" s="99">
        <f t="shared" si="157"/>
        <v>0</v>
      </c>
      <c r="V111" s="99">
        <f t="shared" si="157"/>
        <v>0</v>
      </c>
      <c r="W111" s="99">
        <f t="shared" si="157"/>
        <v>0</v>
      </c>
      <c r="X111" s="99">
        <f t="shared" si="157"/>
        <v>0</v>
      </c>
      <c r="Y111" s="99">
        <f t="shared" si="157"/>
        <v>0</v>
      </c>
      <c r="Z111" s="99">
        <f t="shared" si="157"/>
        <v>0</v>
      </c>
      <c r="AA111" s="99">
        <f t="shared" si="157"/>
        <v>0</v>
      </c>
      <c r="AB111" s="99">
        <f t="shared" si="157"/>
        <v>0</v>
      </c>
      <c r="AC111" s="99">
        <f t="shared" si="157"/>
        <v>0</v>
      </c>
      <c r="AD111" s="99">
        <f t="shared" si="157"/>
        <v>0</v>
      </c>
      <c r="AE111" s="100">
        <f>SUM(S111:AD111)</f>
        <v>0</v>
      </c>
      <c r="AF111" s="100">
        <f t="shared" si="157"/>
        <v>0</v>
      </c>
      <c r="AG111" s="100">
        <f t="shared" si="157"/>
        <v>0</v>
      </c>
      <c r="AH111" s="100">
        <f t="shared" si="157"/>
        <v>0</v>
      </c>
      <c r="AI111" s="304" t="s">
        <v>321</v>
      </c>
    </row>
    <row r="112" spans="1:35">
      <c r="A112" s="96"/>
      <c r="B112" s="97" t="s">
        <v>194</v>
      </c>
      <c r="C112" s="98"/>
      <c r="D112" s="98"/>
      <c r="E112" s="98"/>
      <c r="F112" s="99">
        <f>SUM(F110:F111)*F$326</f>
        <v>0</v>
      </c>
      <c r="G112" s="99">
        <f>SUM(G110:G111)*G$326</f>
        <v>0</v>
      </c>
      <c r="H112" s="99">
        <f>SUM(H110:H111)*H$326</f>
        <v>0</v>
      </c>
      <c r="I112" s="99">
        <f>SUM(I110:I111)*I$326</f>
        <v>0</v>
      </c>
      <c r="J112" s="99">
        <f t="shared" ref="J112:Q112" si="158">SUM(J110:J111)*J$326</f>
        <v>0</v>
      </c>
      <c r="K112" s="99">
        <f t="shared" si="158"/>
        <v>625</v>
      </c>
      <c r="L112" s="99">
        <f t="shared" si="158"/>
        <v>625</v>
      </c>
      <c r="M112" s="99">
        <f t="shared" si="158"/>
        <v>625</v>
      </c>
      <c r="N112" s="99">
        <f t="shared" si="158"/>
        <v>625</v>
      </c>
      <c r="O112" s="99">
        <f t="shared" si="158"/>
        <v>625</v>
      </c>
      <c r="P112" s="99">
        <f t="shared" si="158"/>
        <v>625</v>
      </c>
      <c r="Q112" s="99">
        <f t="shared" si="158"/>
        <v>625</v>
      </c>
      <c r="R112" s="100">
        <f t="shared" si="154"/>
        <v>4375</v>
      </c>
      <c r="S112" s="99">
        <f t="shared" ref="S112:AD112" si="159">SUM(S110:S111)*S$326</f>
        <v>2383.3333333333335</v>
      </c>
      <c r="T112" s="99">
        <f t="shared" si="159"/>
        <v>3466.666666666667</v>
      </c>
      <c r="U112" s="99">
        <f t="shared" si="159"/>
        <v>4550</v>
      </c>
      <c r="V112" s="99">
        <f t="shared" si="159"/>
        <v>4550</v>
      </c>
      <c r="W112" s="99">
        <f t="shared" si="159"/>
        <v>4550</v>
      </c>
      <c r="X112" s="99">
        <f t="shared" si="159"/>
        <v>4550</v>
      </c>
      <c r="Y112" s="99">
        <f t="shared" si="159"/>
        <v>4550</v>
      </c>
      <c r="Z112" s="99">
        <f t="shared" si="159"/>
        <v>4550</v>
      </c>
      <c r="AA112" s="99">
        <f t="shared" si="159"/>
        <v>4550</v>
      </c>
      <c r="AB112" s="99">
        <f t="shared" si="159"/>
        <v>4550</v>
      </c>
      <c r="AC112" s="99">
        <f t="shared" si="159"/>
        <v>4550</v>
      </c>
      <c r="AD112" s="99">
        <f t="shared" si="159"/>
        <v>4550</v>
      </c>
      <c r="AE112" s="100">
        <f t="shared" si="156"/>
        <v>51350</v>
      </c>
      <c r="AF112" s="100">
        <f>SUM(AF110:AF111)*AF$326</f>
        <v>83824.000000000015</v>
      </c>
      <c r="AG112" s="100">
        <f>SUM(AG110:AG111)*AG$326</f>
        <v>132171.52000000002</v>
      </c>
      <c r="AH112" s="100">
        <f>SUM(AH110:AH111)*AH$326</f>
        <v>166704.84480000002</v>
      </c>
      <c r="AI112" s="304" t="s">
        <v>321</v>
      </c>
    </row>
    <row r="113" spans="1:35">
      <c r="A113" s="96"/>
      <c r="B113" s="97" t="s">
        <v>59</v>
      </c>
      <c r="C113" s="119">
        <f>Assumptions!E70</f>
        <v>400</v>
      </c>
      <c r="D113" s="98"/>
      <c r="E113" s="98"/>
      <c r="F113" s="99">
        <f t="shared" ref="F113:I115" si="160">$C113*F$109</f>
        <v>200</v>
      </c>
      <c r="G113" s="99">
        <f t="shared" si="160"/>
        <v>200</v>
      </c>
      <c r="H113" s="99">
        <f t="shared" si="160"/>
        <v>200</v>
      </c>
      <c r="I113" s="99">
        <f t="shared" si="160"/>
        <v>200</v>
      </c>
      <c r="J113" s="99">
        <f t="shared" ref="J113:Y115" si="161">$C113*J$109</f>
        <v>200</v>
      </c>
      <c r="K113" s="99">
        <f t="shared" si="161"/>
        <v>400</v>
      </c>
      <c r="L113" s="99">
        <f t="shared" si="161"/>
        <v>400</v>
      </c>
      <c r="M113" s="99">
        <f t="shared" si="161"/>
        <v>400</v>
      </c>
      <c r="N113" s="99">
        <f t="shared" si="161"/>
        <v>400</v>
      </c>
      <c r="O113" s="99">
        <f t="shared" si="161"/>
        <v>400</v>
      </c>
      <c r="P113" s="99">
        <f t="shared" si="161"/>
        <v>400</v>
      </c>
      <c r="Q113" s="99">
        <f t="shared" si="161"/>
        <v>400</v>
      </c>
      <c r="R113" s="100">
        <f t="shared" si="154"/>
        <v>3800</v>
      </c>
      <c r="S113" s="99">
        <f t="shared" ref="S113:AD115" si="162">$C113*S$109</f>
        <v>800</v>
      </c>
      <c r="T113" s="99">
        <f t="shared" si="162"/>
        <v>1200</v>
      </c>
      <c r="U113" s="99">
        <f t="shared" si="162"/>
        <v>1600</v>
      </c>
      <c r="V113" s="99">
        <f t="shared" si="162"/>
        <v>1600</v>
      </c>
      <c r="W113" s="99">
        <f t="shared" si="162"/>
        <v>1600</v>
      </c>
      <c r="X113" s="99">
        <f t="shared" si="162"/>
        <v>1600</v>
      </c>
      <c r="Y113" s="99">
        <f t="shared" si="162"/>
        <v>1600</v>
      </c>
      <c r="Z113" s="99">
        <f t="shared" si="162"/>
        <v>1600</v>
      </c>
      <c r="AA113" s="99">
        <f t="shared" si="162"/>
        <v>1600</v>
      </c>
      <c r="AB113" s="99">
        <f t="shared" si="162"/>
        <v>1600</v>
      </c>
      <c r="AC113" s="99">
        <f t="shared" si="162"/>
        <v>1600</v>
      </c>
      <c r="AD113" s="99">
        <f t="shared" si="162"/>
        <v>1600</v>
      </c>
      <c r="AE113" s="100">
        <f t="shared" si="156"/>
        <v>18000</v>
      </c>
      <c r="AF113" s="100">
        <f t="shared" ref="AF113:AH115" si="163">$C113*AF$109*12</f>
        <v>28800</v>
      </c>
      <c r="AG113" s="100">
        <f t="shared" si="163"/>
        <v>43200</v>
      </c>
      <c r="AH113" s="100">
        <f t="shared" si="163"/>
        <v>52800</v>
      </c>
      <c r="AI113" s="304" t="s">
        <v>321</v>
      </c>
    </row>
    <row r="114" spans="1:35">
      <c r="A114" s="96"/>
      <c r="B114" s="97" t="s">
        <v>60</v>
      </c>
      <c r="C114" s="119">
        <f>Assumptions!F70</f>
        <v>2500</v>
      </c>
      <c r="D114" s="98"/>
      <c r="E114" s="98"/>
      <c r="F114" s="99">
        <f t="shared" si="160"/>
        <v>1250</v>
      </c>
      <c r="G114" s="99">
        <f t="shared" si="160"/>
        <v>1250</v>
      </c>
      <c r="H114" s="99">
        <f t="shared" si="160"/>
        <v>1250</v>
      </c>
      <c r="I114" s="99">
        <f t="shared" si="160"/>
        <v>1250</v>
      </c>
      <c r="J114" s="99">
        <f t="shared" si="161"/>
        <v>1250</v>
      </c>
      <c r="K114" s="99">
        <f t="shared" si="161"/>
        <v>2500</v>
      </c>
      <c r="L114" s="99">
        <f t="shared" si="161"/>
        <v>2500</v>
      </c>
      <c r="M114" s="99">
        <f t="shared" si="161"/>
        <v>2500</v>
      </c>
      <c r="N114" s="99">
        <f t="shared" si="161"/>
        <v>2500</v>
      </c>
      <c r="O114" s="99">
        <f t="shared" si="161"/>
        <v>2500</v>
      </c>
      <c r="P114" s="99">
        <f t="shared" si="161"/>
        <v>2500</v>
      </c>
      <c r="Q114" s="99">
        <f t="shared" si="161"/>
        <v>2500</v>
      </c>
      <c r="R114" s="100">
        <f t="shared" si="154"/>
        <v>23750</v>
      </c>
      <c r="S114" s="99">
        <f t="shared" si="162"/>
        <v>5000</v>
      </c>
      <c r="T114" s="99">
        <f t="shared" si="162"/>
        <v>7500</v>
      </c>
      <c r="U114" s="99">
        <f t="shared" si="162"/>
        <v>10000</v>
      </c>
      <c r="V114" s="99">
        <f t="shared" si="162"/>
        <v>10000</v>
      </c>
      <c r="W114" s="99">
        <f t="shared" si="162"/>
        <v>10000</v>
      </c>
      <c r="X114" s="99">
        <f t="shared" si="162"/>
        <v>10000</v>
      </c>
      <c r="Y114" s="99">
        <f t="shared" si="162"/>
        <v>10000</v>
      </c>
      <c r="Z114" s="99">
        <f t="shared" si="162"/>
        <v>10000</v>
      </c>
      <c r="AA114" s="99">
        <f t="shared" si="162"/>
        <v>10000</v>
      </c>
      <c r="AB114" s="99">
        <f t="shared" si="162"/>
        <v>10000</v>
      </c>
      <c r="AC114" s="99">
        <f t="shared" si="162"/>
        <v>10000</v>
      </c>
      <c r="AD114" s="99">
        <f t="shared" si="162"/>
        <v>10000</v>
      </c>
      <c r="AE114" s="100">
        <f t="shared" si="156"/>
        <v>112500</v>
      </c>
      <c r="AF114" s="100">
        <f t="shared" si="163"/>
        <v>180000</v>
      </c>
      <c r="AG114" s="100">
        <f t="shared" si="163"/>
        <v>270000</v>
      </c>
      <c r="AH114" s="100">
        <f t="shared" si="163"/>
        <v>330000</v>
      </c>
      <c r="AI114" s="304" t="s">
        <v>321</v>
      </c>
    </row>
    <row r="115" spans="1:35">
      <c r="A115" s="96"/>
      <c r="B115" s="114" t="s">
        <v>300</v>
      </c>
      <c r="C115" s="119">
        <f>Assumptions!G70</f>
        <v>100</v>
      </c>
      <c r="D115" s="98"/>
      <c r="E115" s="98"/>
      <c r="F115" s="129">
        <f>$C115*F$109</f>
        <v>50</v>
      </c>
      <c r="G115" s="129">
        <f t="shared" si="160"/>
        <v>50</v>
      </c>
      <c r="H115" s="129">
        <f t="shared" si="160"/>
        <v>50</v>
      </c>
      <c r="I115" s="129">
        <f t="shared" si="160"/>
        <v>50</v>
      </c>
      <c r="J115" s="129">
        <f t="shared" si="161"/>
        <v>50</v>
      </c>
      <c r="K115" s="129">
        <f t="shared" si="161"/>
        <v>100</v>
      </c>
      <c r="L115" s="129">
        <f t="shared" si="161"/>
        <v>100</v>
      </c>
      <c r="M115" s="129">
        <f t="shared" si="161"/>
        <v>100</v>
      </c>
      <c r="N115" s="129">
        <f t="shared" si="161"/>
        <v>100</v>
      </c>
      <c r="O115" s="129">
        <f t="shared" si="161"/>
        <v>100</v>
      </c>
      <c r="P115" s="129">
        <f t="shared" si="161"/>
        <v>100</v>
      </c>
      <c r="Q115" s="129">
        <f t="shared" si="161"/>
        <v>100</v>
      </c>
      <c r="R115" s="100">
        <f t="shared" si="154"/>
        <v>950</v>
      </c>
      <c r="S115" s="129">
        <f t="shared" si="161"/>
        <v>200</v>
      </c>
      <c r="T115" s="129">
        <f t="shared" si="161"/>
        <v>300</v>
      </c>
      <c r="U115" s="129">
        <f t="shared" si="161"/>
        <v>400</v>
      </c>
      <c r="V115" s="129">
        <f t="shared" si="161"/>
        <v>400</v>
      </c>
      <c r="W115" s="129">
        <f t="shared" si="161"/>
        <v>400</v>
      </c>
      <c r="X115" s="129">
        <f t="shared" si="161"/>
        <v>400</v>
      </c>
      <c r="Y115" s="129">
        <f t="shared" si="161"/>
        <v>400</v>
      </c>
      <c r="Z115" s="129">
        <f t="shared" si="162"/>
        <v>400</v>
      </c>
      <c r="AA115" s="129">
        <f t="shared" si="162"/>
        <v>400</v>
      </c>
      <c r="AB115" s="129">
        <f t="shared" si="162"/>
        <v>400</v>
      </c>
      <c r="AC115" s="129">
        <f t="shared" si="162"/>
        <v>400</v>
      </c>
      <c r="AD115" s="129">
        <f t="shared" si="162"/>
        <v>400</v>
      </c>
      <c r="AE115" s="100">
        <f t="shared" si="156"/>
        <v>4500</v>
      </c>
      <c r="AF115" s="118">
        <f>$C115*AF$109*12</f>
        <v>7200</v>
      </c>
      <c r="AG115" s="118">
        <f t="shared" si="163"/>
        <v>10800</v>
      </c>
      <c r="AH115" s="118">
        <f t="shared" si="163"/>
        <v>13200</v>
      </c>
      <c r="AI115" s="304" t="s">
        <v>321</v>
      </c>
    </row>
    <row r="116" spans="1:35">
      <c r="A116" s="96"/>
      <c r="B116" s="97" t="s">
        <v>195</v>
      </c>
      <c r="C116" s="98"/>
      <c r="D116" s="98"/>
      <c r="E116" s="98"/>
      <c r="F116" s="99">
        <f t="shared" ref="F116:Q116" si="164">F372</f>
        <v>39.583333333333336</v>
      </c>
      <c r="G116" s="99">
        <f t="shared" si="164"/>
        <v>39.583333333333336</v>
      </c>
      <c r="H116" s="99">
        <f t="shared" si="164"/>
        <v>39.583333333333336</v>
      </c>
      <c r="I116" s="99">
        <f t="shared" si="164"/>
        <v>39.583333333333336</v>
      </c>
      <c r="J116" s="99">
        <f t="shared" si="164"/>
        <v>39.583333333333336</v>
      </c>
      <c r="K116" s="99">
        <f t="shared" si="164"/>
        <v>79.166666666666671</v>
      </c>
      <c r="L116" s="99">
        <f t="shared" si="164"/>
        <v>79.166666666666671</v>
      </c>
      <c r="M116" s="99">
        <f t="shared" si="164"/>
        <v>79.166666666666671</v>
      </c>
      <c r="N116" s="99">
        <f t="shared" si="164"/>
        <v>79.166666666666671</v>
      </c>
      <c r="O116" s="99">
        <f t="shared" si="164"/>
        <v>79.166666666666671</v>
      </c>
      <c r="P116" s="99">
        <f t="shared" si="164"/>
        <v>79.166666666666671</v>
      </c>
      <c r="Q116" s="99">
        <f t="shared" si="164"/>
        <v>79.166666666666671</v>
      </c>
      <c r="R116" s="100">
        <f t="shared" si="154"/>
        <v>752.08333333333326</v>
      </c>
      <c r="S116" s="99">
        <f t="shared" ref="S116:AD116" ca="1" si="165">S372</f>
        <v>158.33333333333334</v>
      </c>
      <c r="T116" s="99">
        <f t="shared" ca="1" si="165"/>
        <v>237.5</v>
      </c>
      <c r="U116" s="99">
        <f t="shared" ca="1" si="165"/>
        <v>316.66666666666669</v>
      </c>
      <c r="V116" s="99">
        <f t="shared" ca="1" si="165"/>
        <v>316.66666666666669</v>
      </c>
      <c r="W116" s="99">
        <f t="shared" ca="1" si="165"/>
        <v>316.66666666666669</v>
      </c>
      <c r="X116" s="99">
        <f t="shared" ca="1" si="165"/>
        <v>316.66666666666669</v>
      </c>
      <c r="Y116" s="99">
        <f t="shared" ca="1" si="165"/>
        <v>316.66666666666669</v>
      </c>
      <c r="Z116" s="99">
        <f t="shared" ca="1" si="165"/>
        <v>316.66666666666669</v>
      </c>
      <c r="AA116" s="99">
        <f t="shared" ca="1" si="165"/>
        <v>316.66666666666669</v>
      </c>
      <c r="AB116" s="99">
        <f t="shared" ca="1" si="165"/>
        <v>316.66666666666669</v>
      </c>
      <c r="AC116" s="99">
        <f t="shared" ca="1" si="165"/>
        <v>316.66666666666669</v>
      </c>
      <c r="AD116" s="99">
        <f t="shared" ca="1" si="165"/>
        <v>316.66666666666669</v>
      </c>
      <c r="AE116" s="100">
        <f t="shared" ca="1" si="156"/>
        <v>3562.4999999999995</v>
      </c>
      <c r="AF116" s="100">
        <f>AF372</f>
        <v>5700</v>
      </c>
      <c r="AG116" s="100">
        <f>AG372</f>
        <v>7650</v>
      </c>
      <c r="AH116" s="100">
        <f>AH372</f>
        <v>6850</v>
      </c>
      <c r="AI116" s="304" t="s">
        <v>321</v>
      </c>
    </row>
    <row r="117" spans="1:35">
      <c r="A117" s="83" t="s">
        <v>196</v>
      </c>
      <c r="B117" s="102"/>
      <c r="C117" s="85"/>
      <c r="D117" s="85"/>
      <c r="E117" s="85"/>
      <c r="F117" s="103">
        <f t="shared" ref="F117:Q117" si="166">SUM(F110:F116)</f>
        <v>1539.5833333333333</v>
      </c>
      <c r="G117" s="103">
        <f t="shared" si="166"/>
        <v>1539.5833333333333</v>
      </c>
      <c r="H117" s="103">
        <f t="shared" si="166"/>
        <v>1539.5833333333333</v>
      </c>
      <c r="I117" s="103">
        <f t="shared" si="166"/>
        <v>1539.5833333333333</v>
      </c>
      <c r="J117" s="103">
        <f t="shared" si="166"/>
        <v>1539.5833333333333</v>
      </c>
      <c r="K117" s="103">
        <f t="shared" si="166"/>
        <v>6204.166666666667</v>
      </c>
      <c r="L117" s="103">
        <f t="shared" si="166"/>
        <v>6204.166666666667</v>
      </c>
      <c r="M117" s="103">
        <f t="shared" si="166"/>
        <v>6204.166666666667</v>
      </c>
      <c r="N117" s="103">
        <f t="shared" si="166"/>
        <v>6204.166666666667</v>
      </c>
      <c r="O117" s="103">
        <f t="shared" si="166"/>
        <v>6204.166666666667</v>
      </c>
      <c r="P117" s="103">
        <f t="shared" si="166"/>
        <v>6204.166666666667</v>
      </c>
      <c r="Q117" s="103">
        <f t="shared" si="166"/>
        <v>6204.166666666667</v>
      </c>
      <c r="R117" s="104">
        <f t="shared" si="154"/>
        <v>51127.083333333328</v>
      </c>
      <c r="S117" s="103">
        <f t="shared" ref="S117:AD117" ca="1" si="167">SUM(S110:S116)</f>
        <v>18075</v>
      </c>
      <c r="T117" s="103">
        <f t="shared" ca="1" si="167"/>
        <v>26570.833333333336</v>
      </c>
      <c r="U117" s="103">
        <f t="shared" ca="1" si="167"/>
        <v>35066.666666666664</v>
      </c>
      <c r="V117" s="103">
        <f t="shared" ca="1" si="167"/>
        <v>35066.666666666664</v>
      </c>
      <c r="W117" s="103">
        <f t="shared" ca="1" si="167"/>
        <v>35066.666666666664</v>
      </c>
      <c r="X117" s="103">
        <f t="shared" ca="1" si="167"/>
        <v>35066.666666666664</v>
      </c>
      <c r="Y117" s="103">
        <f t="shared" ca="1" si="167"/>
        <v>35066.666666666664</v>
      </c>
      <c r="Z117" s="103">
        <f t="shared" ca="1" si="167"/>
        <v>35066.666666666664</v>
      </c>
      <c r="AA117" s="103">
        <f t="shared" ca="1" si="167"/>
        <v>35066.666666666664</v>
      </c>
      <c r="AB117" s="103">
        <f t="shared" ca="1" si="167"/>
        <v>35066.666666666664</v>
      </c>
      <c r="AC117" s="103">
        <f t="shared" ca="1" si="167"/>
        <v>35066.666666666664</v>
      </c>
      <c r="AD117" s="103">
        <f t="shared" ca="1" si="167"/>
        <v>35066.666666666664</v>
      </c>
      <c r="AE117" s="104">
        <f t="shared" ca="1" si="156"/>
        <v>395312.5</v>
      </c>
      <c r="AF117" s="104">
        <f>SUM(AF110:AF116)</f>
        <v>640820</v>
      </c>
      <c r="AG117" s="104">
        <f>SUM(AG110:AG116)</f>
        <v>992507.60000000009</v>
      </c>
      <c r="AH117" s="104">
        <f>SUM(AH110:AH116)</f>
        <v>1236374.2240000002</v>
      </c>
      <c r="AI117" s="304" t="s">
        <v>321</v>
      </c>
    </row>
    <row r="118" spans="1:35" ht="8.25" thickBot="1">
      <c r="A118" s="120"/>
      <c r="B118" s="121" t="s">
        <v>197</v>
      </c>
      <c r="C118" s="98"/>
      <c r="D118" s="98"/>
      <c r="E118" s="98"/>
      <c r="F118" s="122">
        <f t="shared" ref="F118:O118" si="168">IF(F$92&gt;0,F117/F$92,0)</f>
        <v>0</v>
      </c>
      <c r="G118" s="122">
        <f t="shared" si="168"/>
        <v>0</v>
      </c>
      <c r="H118" s="122">
        <f t="shared" si="168"/>
        <v>0</v>
      </c>
      <c r="I118" s="122">
        <f t="shared" si="168"/>
        <v>0.29325396825396827</v>
      </c>
      <c r="J118" s="122">
        <f t="shared" si="168"/>
        <v>0.19550264550264548</v>
      </c>
      <c r="K118" s="122">
        <f t="shared" si="168"/>
        <v>0.59087301587301588</v>
      </c>
      <c r="L118" s="122">
        <f t="shared" si="168"/>
        <v>0.47269841269841273</v>
      </c>
      <c r="M118" s="122">
        <f t="shared" si="168"/>
        <v>0.14771825396825397</v>
      </c>
      <c r="N118" s="122">
        <f t="shared" si="168"/>
        <v>0.13902894491129786</v>
      </c>
      <c r="O118" s="122">
        <f t="shared" si="168"/>
        <v>0.13130511463844799</v>
      </c>
      <c r="P118" s="122">
        <f t="shared" ref="P118:Y118" si="169">IF(P$92&gt;0,P117/P$92,0)</f>
        <v>6.5652557319223995E-2</v>
      </c>
      <c r="Q118" s="122">
        <f t="shared" si="169"/>
        <v>5.9087301587301591E-2</v>
      </c>
      <c r="R118" s="123">
        <f t="shared" si="169"/>
        <v>0.13813463919846897</v>
      </c>
      <c r="S118" s="122">
        <f t="shared" ca="1" si="169"/>
        <v>0.14588377723970944</v>
      </c>
      <c r="T118" s="122">
        <f t="shared" ca="1" si="169"/>
        <v>0.18174055986466214</v>
      </c>
      <c r="U118" s="122">
        <f t="shared" ca="1" si="169"/>
        <v>0.20326363728492722</v>
      </c>
      <c r="V118" s="122">
        <f t="shared" ca="1" si="169"/>
        <v>0.17225691103077911</v>
      </c>
      <c r="W118" s="122">
        <f t="shared" ca="1" si="169"/>
        <v>0.1459804586006635</v>
      </c>
      <c r="X118" s="122">
        <f t="shared" ca="1" si="169"/>
        <v>0.12371210640558238</v>
      </c>
      <c r="Y118" s="122">
        <f t="shared" ca="1" si="169"/>
        <v>0.10484079446998691</v>
      </c>
      <c r="Z118" s="122">
        <f t="shared" ref="Z118:AE118" ca="1" si="170">IF(Z$92&gt;0,Z117/Z$92,0)</f>
        <v>8.8848045813836055E-2</v>
      </c>
      <c r="AA118" s="122">
        <f t="shared" ca="1" si="170"/>
        <v>7.5294896362336786E-2</v>
      </c>
      <c r="AB118" s="122">
        <f t="shared" ca="1" si="170"/>
        <v>6.3809290286931025E-2</v>
      </c>
      <c r="AC118" s="122">
        <f t="shared" ca="1" si="170"/>
        <v>5.4075696002269115E-2</v>
      </c>
      <c r="AD118" s="122">
        <f t="shared" ca="1" si="170"/>
        <v>4.582685598821204E-2</v>
      </c>
      <c r="AE118" s="123">
        <f t="shared" ca="1" si="170"/>
        <v>9.1339037510379417E-2</v>
      </c>
      <c r="AF118" s="123">
        <f>IF(AF$92&gt;0,AF117/AF$92,0)</f>
        <v>6.0525751945006777E-2</v>
      </c>
      <c r="AG118" s="123">
        <f>IF(AG$92&gt;0,AG117/AG$92,0)</f>
        <v>6.4643523544093348E-2</v>
      </c>
      <c r="AH118" s="123">
        <f>IF(AH$92&gt;0,AH117/AH$92,0)</f>
        <v>6.0636367669316335E-2</v>
      </c>
      <c r="AI118" s="304" t="s">
        <v>321</v>
      </c>
    </row>
    <row r="119" spans="1:35" s="65" customFormat="1" ht="8.25" thickTop="1">
      <c r="A119" s="73" t="s">
        <v>188</v>
      </c>
      <c r="B119" s="74"/>
      <c r="C119" s="75"/>
      <c r="D119" s="75"/>
      <c r="E119" s="75"/>
      <c r="F119" s="105"/>
      <c r="G119" s="105"/>
      <c r="H119" s="105"/>
      <c r="I119" s="105"/>
      <c r="J119" s="105"/>
      <c r="K119" s="105"/>
      <c r="L119" s="105"/>
      <c r="M119" s="105"/>
      <c r="N119" s="105"/>
      <c r="O119" s="105"/>
      <c r="P119" s="105"/>
      <c r="Q119" s="105"/>
      <c r="R119" s="106"/>
      <c r="S119" s="105"/>
      <c r="T119" s="105"/>
      <c r="U119" s="105"/>
      <c r="V119" s="105"/>
      <c r="W119" s="105"/>
      <c r="X119" s="105"/>
      <c r="Y119" s="105"/>
      <c r="Z119" s="105"/>
      <c r="AA119" s="105"/>
      <c r="AB119" s="105"/>
      <c r="AC119" s="105"/>
      <c r="AD119" s="105"/>
      <c r="AE119" s="106"/>
      <c r="AF119" s="106"/>
      <c r="AG119" s="106"/>
      <c r="AH119" s="106"/>
      <c r="AI119" s="304" t="s">
        <v>321</v>
      </c>
    </row>
    <row r="120" spans="1:35" s="65" customFormat="1" ht="8.25" thickBot="1">
      <c r="A120" s="78" t="str">
        <f>$A$1</f>
        <v>PEP STRAW</v>
      </c>
      <c r="B120" s="79"/>
      <c r="C120" s="80"/>
      <c r="D120" s="80"/>
      <c r="E120" s="80"/>
      <c r="F120" s="107"/>
      <c r="G120" s="107"/>
      <c r="H120" s="107"/>
      <c r="I120" s="107"/>
      <c r="J120" s="107"/>
      <c r="K120" s="107"/>
      <c r="L120" s="107"/>
      <c r="M120" s="107"/>
      <c r="N120" s="107"/>
      <c r="O120" s="107"/>
      <c r="P120" s="107"/>
      <c r="Q120" s="107"/>
      <c r="R120" s="108"/>
      <c r="S120" s="107"/>
      <c r="T120" s="107"/>
      <c r="U120" s="107"/>
      <c r="V120" s="107"/>
      <c r="W120" s="107"/>
      <c r="X120" s="107"/>
      <c r="Y120" s="107"/>
      <c r="Z120" s="107"/>
      <c r="AA120" s="107"/>
      <c r="AB120" s="107"/>
      <c r="AC120" s="107"/>
      <c r="AD120" s="107"/>
      <c r="AE120" s="108"/>
      <c r="AF120" s="108"/>
      <c r="AG120" s="108"/>
      <c r="AH120" s="108"/>
      <c r="AI120" s="304" t="s">
        <v>321</v>
      </c>
    </row>
    <row r="121" spans="1:35" ht="8.25" thickTop="1">
      <c r="A121" s="83"/>
      <c r="B121" s="84">
        <f ca="1">NOW()</f>
        <v>44371.35163020833</v>
      </c>
      <c r="C121" s="85"/>
      <c r="D121" s="85"/>
      <c r="E121" s="85"/>
      <c r="F121" s="86" t="str">
        <f t="shared" ref="F121:Q121" si="171">F$8</f>
        <v>Month 1</v>
      </c>
      <c r="G121" s="86" t="str">
        <f t="shared" si="171"/>
        <v>Month 2</v>
      </c>
      <c r="H121" s="86" t="str">
        <f t="shared" si="171"/>
        <v>Month 3</v>
      </c>
      <c r="I121" s="86" t="str">
        <f t="shared" si="171"/>
        <v>Month 4</v>
      </c>
      <c r="J121" s="86" t="str">
        <f t="shared" si="171"/>
        <v>Month 5</v>
      </c>
      <c r="K121" s="86" t="str">
        <f t="shared" si="171"/>
        <v>Month 6</v>
      </c>
      <c r="L121" s="86" t="str">
        <f t="shared" si="171"/>
        <v>Month 7</v>
      </c>
      <c r="M121" s="86" t="str">
        <f t="shared" si="171"/>
        <v>Month 8</v>
      </c>
      <c r="N121" s="86" t="str">
        <f t="shared" si="171"/>
        <v>Month 9</v>
      </c>
      <c r="O121" s="86" t="str">
        <f t="shared" si="171"/>
        <v>Month 10</v>
      </c>
      <c r="P121" s="86" t="str">
        <f t="shared" si="171"/>
        <v>Month 11</v>
      </c>
      <c r="Q121" s="86" t="str">
        <f t="shared" si="171"/>
        <v>Month 12</v>
      </c>
      <c r="R121" s="87" t="s">
        <v>127</v>
      </c>
      <c r="S121" s="86" t="str">
        <f t="shared" ref="S121:AD121" si="172">S$8</f>
        <v>Month 13</v>
      </c>
      <c r="T121" s="86" t="str">
        <f t="shared" si="172"/>
        <v>Month 14</v>
      </c>
      <c r="U121" s="86" t="str">
        <f t="shared" si="172"/>
        <v>Month 15</v>
      </c>
      <c r="V121" s="86" t="str">
        <f t="shared" si="172"/>
        <v>Month 16</v>
      </c>
      <c r="W121" s="86" t="str">
        <f t="shared" si="172"/>
        <v>Month 17</v>
      </c>
      <c r="X121" s="86" t="str">
        <f t="shared" si="172"/>
        <v>Month 18</v>
      </c>
      <c r="Y121" s="86" t="str">
        <f t="shared" si="172"/>
        <v>Month 19</v>
      </c>
      <c r="Z121" s="86" t="str">
        <f t="shared" si="172"/>
        <v>Month 20</v>
      </c>
      <c r="AA121" s="86" t="str">
        <f t="shared" si="172"/>
        <v>Month 21</v>
      </c>
      <c r="AB121" s="86" t="str">
        <f t="shared" si="172"/>
        <v>Month 22</v>
      </c>
      <c r="AC121" s="86" t="str">
        <f t="shared" si="172"/>
        <v>Month 23</v>
      </c>
      <c r="AD121" s="86" t="str">
        <f t="shared" si="172"/>
        <v>Month 24</v>
      </c>
      <c r="AE121" s="87" t="s">
        <v>127</v>
      </c>
      <c r="AF121" s="87" t="str">
        <f>AF$8</f>
        <v>Total</v>
      </c>
      <c r="AG121" s="87" t="str">
        <f>AG$8</f>
        <v>Total</v>
      </c>
      <c r="AH121" s="87" t="str">
        <f>AH$8</f>
        <v>Total</v>
      </c>
      <c r="AI121" s="304" t="s">
        <v>321</v>
      </c>
    </row>
    <row r="122" spans="1:35">
      <c r="A122" s="89"/>
      <c r="B122" s="90">
        <f ca="1">NOW()</f>
        <v>44371.35163020833</v>
      </c>
      <c r="C122" s="91"/>
      <c r="D122" s="91"/>
      <c r="E122" s="91"/>
      <c r="F122" s="92">
        <f t="shared" ref="F122:AH122" si="173">F$1</f>
        <v>43466</v>
      </c>
      <c r="G122" s="92">
        <f t="shared" si="173"/>
        <v>43497</v>
      </c>
      <c r="H122" s="92">
        <f t="shared" si="173"/>
        <v>43528</v>
      </c>
      <c r="I122" s="92">
        <f t="shared" si="173"/>
        <v>43559</v>
      </c>
      <c r="J122" s="92">
        <f t="shared" si="173"/>
        <v>43590</v>
      </c>
      <c r="K122" s="92">
        <f t="shared" si="173"/>
        <v>43621</v>
      </c>
      <c r="L122" s="92">
        <f t="shared" si="173"/>
        <v>43652</v>
      </c>
      <c r="M122" s="92">
        <f t="shared" si="173"/>
        <v>43683</v>
      </c>
      <c r="N122" s="92">
        <f t="shared" si="173"/>
        <v>43714</v>
      </c>
      <c r="O122" s="92">
        <f t="shared" si="173"/>
        <v>43745</v>
      </c>
      <c r="P122" s="92">
        <f t="shared" si="173"/>
        <v>43776</v>
      </c>
      <c r="Q122" s="92">
        <f t="shared" si="173"/>
        <v>43807</v>
      </c>
      <c r="R122" s="93">
        <f t="shared" si="173"/>
        <v>43807</v>
      </c>
      <c r="S122" s="92">
        <f t="shared" si="173"/>
        <v>43838</v>
      </c>
      <c r="T122" s="92">
        <f t="shared" si="173"/>
        <v>43869</v>
      </c>
      <c r="U122" s="92">
        <f t="shared" si="173"/>
        <v>43900</v>
      </c>
      <c r="V122" s="92">
        <f t="shared" si="173"/>
        <v>43931</v>
      </c>
      <c r="W122" s="92">
        <f t="shared" si="173"/>
        <v>43962</v>
      </c>
      <c r="X122" s="92">
        <f t="shared" si="173"/>
        <v>43993</v>
      </c>
      <c r="Y122" s="92">
        <f t="shared" si="173"/>
        <v>44024</v>
      </c>
      <c r="Z122" s="92">
        <f t="shared" si="173"/>
        <v>44055</v>
      </c>
      <c r="AA122" s="92">
        <f t="shared" si="173"/>
        <v>44086</v>
      </c>
      <c r="AB122" s="92">
        <f t="shared" si="173"/>
        <v>44117</v>
      </c>
      <c r="AC122" s="92">
        <f t="shared" si="173"/>
        <v>44148</v>
      </c>
      <c r="AD122" s="92">
        <f t="shared" si="173"/>
        <v>44179</v>
      </c>
      <c r="AE122" s="93">
        <f t="shared" si="173"/>
        <v>44179</v>
      </c>
      <c r="AF122" s="93">
        <f t="shared" si="173"/>
        <v>44544</v>
      </c>
      <c r="AG122" s="93">
        <f t="shared" si="173"/>
        <v>44909</v>
      </c>
      <c r="AH122" s="93">
        <f t="shared" si="173"/>
        <v>45274</v>
      </c>
      <c r="AI122" s="304" t="s">
        <v>321</v>
      </c>
    </row>
    <row r="123" spans="1:35">
      <c r="A123" s="89"/>
      <c r="B123" s="90"/>
      <c r="C123" s="91"/>
      <c r="D123" s="91"/>
      <c r="E123" s="91"/>
      <c r="F123" s="92"/>
      <c r="G123" s="92"/>
      <c r="H123" s="92"/>
      <c r="I123" s="92"/>
      <c r="J123" s="92"/>
      <c r="K123" s="92"/>
      <c r="L123" s="92"/>
      <c r="M123" s="92"/>
      <c r="N123" s="92"/>
      <c r="O123" s="92"/>
      <c r="P123" s="92"/>
      <c r="Q123" s="92"/>
      <c r="R123" s="93"/>
      <c r="S123" s="92"/>
      <c r="T123" s="92"/>
      <c r="U123" s="92"/>
      <c r="V123" s="92"/>
      <c r="W123" s="92"/>
      <c r="X123" s="92"/>
      <c r="Y123" s="92"/>
      <c r="Z123" s="92"/>
      <c r="AA123" s="92"/>
      <c r="AB123" s="92"/>
      <c r="AC123" s="92"/>
      <c r="AD123" s="92"/>
      <c r="AE123" s="93"/>
      <c r="AF123" s="93"/>
      <c r="AG123" s="93"/>
      <c r="AH123" s="93"/>
      <c r="AI123" s="304" t="s">
        <v>321</v>
      </c>
    </row>
    <row r="124" spans="1:35">
      <c r="A124" s="96" t="s">
        <v>199</v>
      </c>
      <c r="B124" s="97"/>
      <c r="C124" s="98"/>
      <c r="D124" s="98"/>
      <c r="E124" s="98"/>
      <c r="F124" s="99"/>
      <c r="G124" s="99"/>
      <c r="H124" s="99"/>
      <c r="I124" s="99"/>
      <c r="J124" s="99"/>
      <c r="K124" s="99"/>
      <c r="L124" s="99"/>
      <c r="M124" s="99"/>
      <c r="N124" s="99"/>
      <c r="O124" s="99"/>
      <c r="P124" s="99"/>
      <c r="Q124" s="99"/>
      <c r="R124" s="100"/>
      <c r="S124" s="99"/>
      <c r="T124" s="99"/>
      <c r="U124" s="99"/>
      <c r="V124" s="99"/>
      <c r="W124" s="99"/>
      <c r="X124" s="99"/>
      <c r="Y124" s="99"/>
      <c r="Z124" s="99"/>
      <c r="AA124" s="99"/>
      <c r="AB124" s="99"/>
      <c r="AC124" s="99"/>
      <c r="AD124" s="99"/>
      <c r="AE124" s="100"/>
      <c r="AF124" s="100"/>
      <c r="AG124" s="100"/>
      <c r="AH124" s="100"/>
      <c r="AI124" s="304" t="s">
        <v>321</v>
      </c>
    </row>
    <row r="125" spans="1:35">
      <c r="A125" s="96"/>
      <c r="B125" s="114" t="s">
        <v>150</v>
      </c>
      <c r="C125" s="130"/>
      <c r="D125" s="98"/>
      <c r="E125" s="98"/>
      <c r="F125" s="115">
        <v>0</v>
      </c>
      <c r="G125" s="115">
        <v>0</v>
      </c>
      <c r="H125" s="115">
        <v>5000</v>
      </c>
      <c r="I125" s="115">
        <v>5000</v>
      </c>
      <c r="J125" s="115">
        <v>10000</v>
      </c>
      <c r="K125" s="115">
        <f t="shared" ref="K125:N125" si="174">J125</f>
        <v>10000</v>
      </c>
      <c r="L125" s="115">
        <v>15000</v>
      </c>
      <c r="M125" s="115">
        <f t="shared" si="174"/>
        <v>15000</v>
      </c>
      <c r="N125" s="115">
        <f t="shared" si="174"/>
        <v>15000</v>
      </c>
      <c r="O125" s="115">
        <v>25000</v>
      </c>
      <c r="P125" s="115">
        <v>45000</v>
      </c>
      <c r="Q125" s="115">
        <v>25000</v>
      </c>
      <c r="R125" s="100">
        <f>SUM(F125:Q125)</f>
        <v>170000</v>
      </c>
      <c r="S125" s="115">
        <f>ROUND(S92*0.2,0)</f>
        <v>24780</v>
      </c>
      <c r="T125" s="115">
        <f t="shared" ref="T125:X125" si="175">ROUND(T92*0.2,0)</f>
        <v>29240</v>
      </c>
      <c r="U125" s="115">
        <f t="shared" si="175"/>
        <v>34504</v>
      </c>
      <c r="V125" s="115">
        <f t="shared" si="175"/>
        <v>40714</v>
      </c>
      <c r="W125" s="115">
        <f t="shared" si="175"/>
        <v>48043</v>
      </c>
      <c r="X125" s="115">
        <f t="shared" si="175"/>
        <v>56691</v>
      </c>
      <c r="Y125" s="115">
        <f t="shared" ref="Y125:AB125" si="176">ROUND(Y92*0.25,0)</f>
        <v>83619</v>
      </c>
      <c r="Z125" s="115">
        <f t="shared" si="176"/>
        <v>98670</v>
      </c>
      <c r="AA125" s="115">
        <f t="shared" si="176"/>
        <v>116431</v>
      </c>
      <c r="AB125" s="115">
        <f t="shared" si="176"/>
        <v>137389</v>
      </c>
      <c r="AC125" s="356">
        <f>ROUND(AC92*0.3,0)</f>
        <v>194542</v>
      </c>
      <c r="AD125" s="115">
        <f>ROUND(AD92*0.2,0)</f>
        <v>153040</v>
      </c>
      <c r="AE125" s="100">
        <f>SUM(S125:AD125)</f>
        <v>1017663</v>
      </c>
      <c r="AF125" s="370">
        <f>ROUND(AF92*0.25,0)</f>
        <v>2646890</v>
      </c>
      <c r="AG125" s="370">
        <f>ROUND(AG92*0.2,0)</f>
        <v>3070710</v>
      </c>
      <c r="AH125" s="370">
        <f>ROUND(AH92*0.22,0)</f>
        <v>4485795</v>
      </c>
      <c r="AI125" s="304" t="s">
        <v>321</v>
      </c>
    </row>
    <row r="126" spans="1:35">
      <c r="A126" s="96"/>
      <c r="B126" s="114" t="s">
        <v>152</v>
      </c>
      <c r="C126" s="130"/>
      <c r="D126" s="98"/>
      <c r="E126" s="98"/>
      <c r="F126" s="115">
        <v>0</v>
      </c>
      <c r="G126" s="115">
        <v>0</v>
      </c>
      <c r="H126" s="356">
        <v>10000</v>
      </c>
      <c r="I126" s="356">
        <v>10000</v>
      </c>
      <c r="J126" s="115">
        <v>0</v>
      </c>
      <c r="K126" s="115">
        <v>0</v>
      </c>
      <c r="L126" s="115">
        <v>0</v>
      </c>
      <c r="M126" s="115">
        <v>0</v>
      </c>
      <c r="N126" s="115">
        <v>0</v>
      </c>
      <c r="O126" s="115">
        <v>0</v>
      </c>
      <c r="P126" s="115">
        <v>0</v>
      </c>
      <c r="Q126" s="115">
        <v>0</v>
      </c>
      <c r="R126" s="100">
        <f>SUM(F126:Q126)</f>
        <v>20000</v>
      </c>
      <c r="S126" s="115">
        <v>0</v>
      </c>
      <c r="T126" s="115">
        <v>0</v>
      </c>
      <c r="U126" s="356">
        <v>30000</v>
      </c>
      <c r="V126" s="356">
        <v>30000</v>
      </c>
      <c r="W126" s="115">
        <v>0</v>
      </c>
      <c r="X126" s="115">
        <v>0</v>
      </c>
      <c r="Y126" s="115">
        <v>0</v>
      </c>
      <c r="Z126" s="115">
        <v>0</v>
      </c>
      <c r="AA126" s="115">
        <v>0</v>
      </c>
      <c r="AB126" s="115">
        <v>0</v>
      </c>
      <c r="AC126" s="115">
        <v>0</v>
      </c>
      <c r="AD126" s="115">
        <v>0</v>
      </c>
      <c r="AE126" s="100">
        <f>SUM(S126:AD126)</f>
        <v>60000</v>
      </c>
      <c r="AF126" s="117">
        <f t="shared" ref="AF126:AH127" si="177">AE126*2</f>
        <v>120000</v>
      </c>
      <c r="AG126" s="117">
        <f t="shared" si="177"/>
        <v>240000</v>
      </c>
      <c r="AH126" s="117">
        <f t="shared" si="177"/>
        <v>480000</v>
      </c>
      <c r="AI126" s="304" t="s">
        <v>321</v>
      </c>
    </row>
    <row r="127" spans="1:35">
      <c r="A127" s="96"/>
      <c r="B127" s="114" t="s">
        <v>200</v>
      </c>
      <c r="C127" s="130"/>
      <c r="D127" s="98"/>
      <c r="E127" s="98"/>
      <c r="F127" s="115">
        <v>0</v>
      </c>
      <c r="G127" s="115">
        <v>0</v>
      </c>
      <c r="H127" s="115">
        <v>0</v>
      </c>
      <c r="I127" s="115">
        <v>0</v>
      </c>
      <c r="J127" s="115">
        <v>0</v>
      </c>
      <c r="K127" s="115">
        <v>0</v>
      </c>
      <c r="L127" s="115">
        <v>0</v>
      </c>
      <c r="M127" s="115">
        <v>0</v>
      </c>
      <c r="N127" s="115">
        <v>0</v>
      </c>
      <c r="O127" s="115">
        <v>0</v>
      </c>
      <c r="P127" s="115">
        <v>0</v>
      </c>
      <c r="Q127" s="115">
        <v>0</v>
      </c>
      <c r="R127" s="100">
        <f>SUM(F127:Q127)</f>
        <v>0</v>
      </c>
      <c r="S127" s="115">
        <v>0</v>
      </c>
      <c r="T127" s="115">
        <v>0</v>
      </c>
      <c r="U127" s="115">
        <v>0</v>
      </c>
      <c r="V127" s="115">
        <v>0</v>
      </c>
      <c r="W127" s="115">
        <v>0</v>
      </c>
      <c r="X127" s="115">
        <v>0</v>
      </c>
      <c r="Y127" s="115">
        <v>0</v>
      </c>
      <c r="Z127" s="115">
        <v>0</v>
      </c>
      <c r="AA127" s="115">
        <v>0</v>
      </c>
      <c r="AB127" s="115">
        <v>0</v>
      </c>
      <c r="AC127" s="115">
        <v>0</v>
      </c>
      <c r="AD127" s="115">
        <v>0</v>
      </c>
      <c r="AE127" s="100">
        <f>SUM(S127:AD127)</f>
        <v>0</v>
      </c>
      <c r="AF127" s="117">
        <f t="shared" si="177"/>
        <v>0</v>
      </c>
      <c r="AG127" s="117">
        <f t="shared" si="177"/>
        <v>0</v>
      </c>
      <c r="AH127" s="117">
        <f t="shared" si="177"/>
        <v>0</v>
      </c>
      <c r="AI127" s="304" t="s">
        <v>321</v>
      </c>
    </row>
    <row r="128" spans="1:35">
      <c r="A128" s="83" t="s">
        <v>201</v>
      </c>
      <c r="B128" s="102"/>
      <c r="C128" s="85"/>
      <c r="D128" s="85"/>
      <c r="E128" s="85"/>
      <c r="F128" s="103">
        <f>SUM(F125:F127)</f>
        <v>0</v>
      </c>
      <c r="G128" s="103">
        <f t="shared" ref="G128:Q128" si="178">SUM(G125:G127)</f>
        <v>0</v>
      </c>
      <c r="H128" s="103">
        <f t="shared" si="178"/>
        <v>15000</v>
      </c>
      <c r="I128" s="103">
        <f>SUM(I125:I127)</f>
        <v>15000</v>
      </c>
      <c r="J128" s="103">
        <f t="shared" si="178"/>
        <v>10000</v>
      </c>
      <c r="K128" s="103">
        <f t="shared" si="178"/>
        <v>10000</v>
      </c>
      <c r="L128" s="103">
        <f t="shared" si="178"/>
        <v>15000</v>
      </c>
      <c r="M128" s="103">
        <f t="shared" si="178"/>
        <v>15000</v>
      </c>
      <c r="N128" s="103">
        <f t="shared" si="178"/>
        <v>15000</v>
      </c>
      <c r="O128" s="103">
        <f t="shared" si="178"/>
        <v>25000</v>
      </c>
      <c r="P128" s="103">
        <f t="shared" si="178"/>
        <v>45000</v>
      </c>
      <c r="Q128" s="103">
        <f t="shared" si="178"/>
        <v>25000</v>
      </c>
      <c r="R128" s="104">
        <f>SUM(F128:Q128)</f>
        <v>190000</v>
      </c>
      <c r="S128" s="103">
        <f t="shared" ref="S128:AD128" si="179">SUM(S125:S127)</f>
        <v>24780</v>
      </c>
      <c r="T128" s="103">
        <f t="shared" si="179"/>
        <v>29240</v>
      </c>
      <c r="U128" s="103">
        <f t="shared" si="179"/>
        <v>64504</v>
      </c>
      <c r="V128" s="103">
        <f t="shared" si="179"/>
        <v>70714</v>
      </c>
      <c r="W128" s="103">
        <f t="shared" si="179"/>
        <v>48043</v>
      </c>
      <c r="X128" s="103">
        <f t="shared" si="179"/>
        <v>56691</v>
      </c>
      <c r="Y128" s="103">
        <f t="shared" si="179"/>
        <v>83619</v>
      </c>
      <c r="Z128" s="103">
        <f t="shared" si="179"/>
        <v>98670</v>
      </c>
      <c r="AA128" s="103">
        <f t="shared" si="179"/>
        <v>116431</v>
      </c>
      <c r="AB128" s="103">
        <f t="shared" si="179"/>
        <v>137389</v>
      </c>
      <c r="AC128" s="103">
        <f t="shared" si="179"/>
        <v>194542</v>
      </c>
      <c r="AD128" s="103">
        <f t="shared" si="179"/>
        <v>153040</v>
      </c>
      <c r="AE128" s="104">
        <f>SUM(S128:AD128)</f>
        <v>1077663</v>
      </c>
      <c r="AF128" s="104">
        <f>SUM(AF125:AF127)</f>
        <v>2766890</v>
      </c>
      <c r="AG128" s="104">
        <f>SUM(AG125:AG127)</f>
        <v>3310710</v>
      </c>
      <c r="AH128" s="104">
        <f>SUM(AH125:AH127)</f>
        <v>4965795</v>
      </c>
      <c r="AI128" s="304" t="s">
        <v>321</v>
      </c>
    </row>
    <row r="129" spans="1:35">
      <c r="A129" s="120"/>
      <c r="B129" s="121" t="s">
        <v>197</v>
      </c>
      <c r="C129" s="98"/>
      <c r="D129" s="98"/>
      <c r="E129" s="98"/>
      <c r="F129" s="122">
        <f t="shared" ref="F129:O129" si="180">IF(F$92&gt;0,F128/F$92,0)</f>
        <v>0</v>
      </c>
      <c r="G129" s="122">
        <f t="shared" si="180"/>
        <v>0</v>
      </c>
      <c r="H129" s="122">
        <f t="shared" si="180"/>
        <v>0</v>
      </c>
      <c r="I129" s="122">
        <f t="shared" si="180"/>
        <v>2.8571428571428572</v>
      </c>
      <c r="J129" s="122">
        <f t="shared" si="180"/>
        <v>1.2698412698412698</v>
      </c>
      <c r="K129" s="122">
        <f t="shared" si="180"/>
        <v>0.95238095238095233</v>
      </c>
      <c r="L129" s="122">
        <f t="shared" si="180"/>
        <v>1.1428571428571428</v>
      </c>
      <c r="M129" s="122">
        <f t="shared" si="180"/>
        <v>0.35714285714285715</v>
      </c>
      <c r="N129" s="122">
        <f t="shared" si="180"/>
        <v>0.33613445378151263</v>
      </c>
      <c r="O129" s="122">
        <f t="shared" si="180"/>
        <v>0.52910052910052907</v>
      </c>
      <c r="P129" s="122">
        <f t="shared" ref="P129:Y129" si="181">IF(P$92&gt;0,P128/P$92,0)</f>
        <v>0.47619047619047616</v>
      </c>
      <c r="Q129" s="122">
        <f t="shared" si="181"/>
        <v>0.23809523809523808</v>
      </c>
      <c r="R129" s="123">
        <f t="shared" si="181"/>
        <v>0.51334008780817286</v>
      </c>
      <c r="S129" s="122">
        <f t="shared" si="181"/>
        <v>0.2</v>
      </c>
      <c r="T129" s="122">
        <f t="shared" si="181"/>
        <v>0.1999972640593152</v>
      </c>
      <c r="U129" s="122">
        <f t="shared" si="181"/>
        <v>0.37389689142852506</v>
      </c>
      <c r="V129" s="122">
        <f t="shared" si="181"/>
        <v>0.34736621311683979</v>
      </c>
      <c r="W129" s="122">
        <f t="shared" si="181"/>
        <v>0.20000016651763336</v>
      </c>
      <c r="X129" s="122">
        <f t="shared" si="181"/>
        <v>0.20000084669882712</v>
      </c>
      <c r="Y129" s="122">
        <f t="shared" si="181"/>
        <v>0.25000044846347441</v>
      </c>
      <c r="Z129" s="122">
        <f t="shared" ref="Z129:AE129" si="182">IF(Z$92&gt;0,Z128/Z$92,0)</f>
        <v>0.24999914487978717</v>
      </c>
      <c r="AA129" s="122">
        <f t="shared" si="182"/>
        <v>0.24999981212062455</v>
      </c>
      <c r="AB129" s="122">
        <f t="shared" si="182"/>
        <v>0.25000079609974812</v>
      </c>
      <c r="AC129" s="122">
        <f t="shared" si="182"/>
        <v>0.29999983037091554</v>
      </c>
      <c r="AD129" s="122">
        <f t="shared" si="182"/>
        <v>0.200000248301406</v>
      </c>
      <c r="AE129" s="123">
        <f t="shared" si="182"/>
        <v>0.24899971840138627</v>
      </c>
      <c r="AF129" s="123">
        <f>IF(AF$92&gt;0,AF128/AF$92,0)</f>
        <v>0.2613340685358132</v>
      </c>
      <c r="AG129" s="123">
        <f>IF(AG$92&gt;0,AG128/AG$92,0)</f>
        <v>0.21563155771569434</v>
      </c>
      <c r="AH129" s="123">
        <f>IF(AH$92&gt;0,AH128/AH$92,0)</f>
        <v>0.24354096481912152</v>
      </c>
      <c r="AI129" s="304" t="s">
        <v>321</v>
      </c>
    </row>
    <row r="130" spans="1:35">
      <c r="A130" s="96"/>
      <c r="B130" s="97"/>
      <c r="C130" s="98"/>
      <c r="D130" s="98"/>
      <c r="E130" s="98"/>
      <c r="F130" s="99"/>
      <c r="G130" s="99"/>
      <c r="H130" s="99"/>
      <c r="I130" s="99"/>
      <c r="J130" s="99"/>
      <c r="K130" s="99"/>
      <c r="L130" s="99"/>
      <c r="M130" s="99"/>
      <c r="N130" s="99"/>
      <c r="O130" s="99"/>
      <c r="P130" s="99"/>
      <c r="Q130" s="99"/>
      <c r="R130" s="100"/>
      <c r="S130" s="99"/>
      <c r="T130" s="99"/>
      <c r="U130" s="99"/>
      <c r="V130" s="99"/>
      <c r="W130" s="99"/>
      <c r="X130" s="99"/>
      <c r="Y130" s="99"/>
      <c r="Z130" s="99"/>
      <c r="AA130" s="99"/>
      <c r="AB130" s="99"/>
      <c r="AC130" s="99"/>
      <c r="AD130" s="99"/>
      <c r="AE130" s="100"/>
      <c r="AF130" s="100"/>
      <c r="AG130" s="100"/>
      <c r="AH130" s="100"/>
      <c r="AI130" s="304" t="s">
        <v>321</v>
      </c>
    </row>
    <row r="131" spans="1:35">
      <c r="A131" s="96" t="str">
        <f>UPPER($A$278)</f>
        <v>ADMINISTRATION</v>
      </c>
      <c r="B131" s="97"/>
      <c r="C131" s="98"/>
      <c r="D131" s="98"/>
      <c r="E131" s="98"/>
      <c r="F131" s="99"/>
      <c r="G131" s="99"/>
      <c r="H131" s="99"/>
      <c r="I131" s="99"/>
      <c r="J131" s="99"/>
      <c r="K131" s="99"/>
      <c r="L131" s="99"/>
      <c r="M131" s="99"/>
      <c r="N131" s="99"/>
      <c r="O131" s="99"/>
      <c r="P131" s="99"/>
      <c r="Q131" s="99"/>
      <c r="R131" s="100"/>
      <c r="S131" s="99"/>
      <c r="T131" s="99"/>
      <c r="U131" s="99"/>
      <c r="V131" s="99"/>
      <c r="W131" s="99"/>
      <c r="X131" s="99"/>
      <c r="Y131" s="99"/>
      <c r="Z131" s="99"/>
      <c r="AA131" s="99"/>
      <c r="AB131" s="99"/>
      <c r="AC131" s="99"/>
      <c r="AD131" s="99"/>
      <c r="AE131" s="100"/>
      <c r="AF131" s="100"/>
      <c r="AG131" s="100"/>
      <c r="AH131" s="100"/>
      <c r="AI131" s="304" t="s">
        <v>321</v>
      </c>
    </row>
    <row r="132" spans="1:35">
      <c r="A132" s="96"/>
      <c r="B132" s="97" t="s">
        <v>192</v>
      </c>
      <c r="C132" s="98"/>
      <c r="D132" s="98"/>
      <c r="E132" s="98"/>
      <c r="F132" s="99">
        <f t="shared" ref="F132:Q132" si="183">F286</f>
        <v>1.5</v>
      </c>
      <c r="G132" s="99">
        <f t="shared" si="183"/>
        <v>1.5</v>
      </c>
      <c r="H132" s="99">
        <f t="shared" si="183"/>
        <v>1.5</v>
      </c>
      <c r="I132" s="99">
        <f t="shared" si="183"/>
        <v>1.5</v>
      </c>
      <c r="J132" s="99">
        <f t="shared" si="183"/>
        <v>1.5</v>
      </c>
      <c r="K132" s="99">
        <f t="shared" si="183"/>
        <v>2</v>
      </c>
      <c r="L132" s="99">
        <f t="shared" si="183"/>
        <v>2</v>
      </c>
      <c r="M132" s="99">
        <f t="shared" si="183"/>
        <v>2</v>
      </c>
      <c r="N132" s="99">
        <f t="shared" si="183"/>
        <v>2</v>
      </c>
      <c r="O132" s="99">
        <f t="shared" si="183"/>
        <v>2</v>
      </c>
      <c r="P132" s="99">
        <f t="shared" si="183"/>
        <v>2</v>
      </c>
      <c r="Q132" s="99">
        <f t="shared" si="183"/>
        <v>2</v>
      </c>
      <c r="R132" s="100">
        <f>Q132</f>
        <v>2</v>
      </c>
      <c r="S132" s="99">
        <f t="shared" ref="S132:AD132" si="184">S286</f>
        <v>4</v>
      </c>
      <c r="T132" s="99">
        <f t="shared" si="184"/>
        <v>4</v>
      </c>
      <c r="U132" s="99">
        <f t="shared" si="184"/>
        <v>4</v>
      </c>
      <c r="V132" s="99">
        <f t="shared" si="184"/>
        <v>4</v>
      </c>
      <c r="W132" s="99">
        <f t="shared" si="184"/>
        <v>4</v>
      </c>
      <c r="X132" s="99">
        <f t="shared" si="184"/>
        <v>4</v>
      </c>
      <c r="Y132" s="99">
        <f t="shared" si="184"/>
        <v>4</v>
      </c>
      <c r="Z132" s="99">
        <f t="shared" si="184"/>
        <v>4</v>
      </c>
      <c r="AA132" s="99">
        <f t="shared" si="184"/>
        <v>4</v>
      </c>
      <c r="AB132" s="99">
        <f t="shared" si="184"/>
        <v>4</v>
      </c>
      <c r="AC132" s="99">
        <f t="shared" si="184"/>
        <v>4</v>
      </c>
      <c r="AD132" s="99">
        <f t="shared" si="184"/>
        <v>4</v>
      </c>
      <c r="AE132" s="100">
        <f>AD132</f>
        <v>4</v>
      </c>
      <c r="AF132" s="100">
        <f>AF286</f>
        <v>4</v>
      </c>
      <c r="AG132" s="100">
        <f>AG286</f>
        <v>5</v>
      </c>
      <c r="AH132" s="100">
        <f>AH286</f>
        <v>5</v>
      </c>
      <c r="AI132" s="304" t="s">
        <v>321</v>
      </c>
    </row>
    <row r="133" spans="1:35">
      <c r="A133" s="96"/>
      <c r="B133" s="97" t="s">
        <v>193</v>
      </c>
      <c r="C133" s="98"/>
      <c r="D133" s="98"/>
      <c r="E133" s="98"/>
      <c r="F133" s="99">
        <f t="shared" ref="F133:Q133" si="185">F322</f>
        <v>0</v>
      </c>
      <c r="G133" s="99">
        <f t="shared" si="185"/>
        <v>0</v>
      </c>
      <c r="H133" s="99">
        <f t="shared" si="185"/>
        <v>0</v>
      </c>
      <c r="I133" s="99">
        <f t="shared" si="185"/>
        <v>0</v>
      </c>
      <c r="J133" s="99">
        <f t="shared" si="185"/>
        <v>0</v>
      </c>
      <c r="K133" s="99">
        <f t="shared" si="185"/>
        <v>8750</v>
      </c>
      <c r="L133" s="99">
        <f t="shared" si="185"/>
        <v>8750</v>
      </c>
      <c r="M133" s="99">
        <f t="shared" si="185"/>
        <v>8750</v>
      </c>
      <c r="N133" s="99">
        <f t="shared" si="185"/>
        <v>8750</v>
      </c>
      <c r="O133" s="99">
        <f t="shared" si="185"/>
        <v>8750</v>
      </c>
      <c r="P133" s="99">
        <f t="shared" si="185"/>
        <v>8750</v>
      </c>
      <c r="Q133" s="99">
        <f t="shared" si="185"/>
        <v>8750</v>
      </c>
      <c r="R133" s="100">
        <f t="shared" ref="R133:R139" si="186">SUM(F133:Q133)</f>
        <v>61250</v>
      </c>
      <c r="S133" s="99">
        <f t="shared" ref="S133:AD133" si="187">S322</f>
        <v>17766.666666666668</v>
      </c>
      <c r="T133" s="99">
        <f t="shared" si="187"/>
        <v>17766.666666666668</v>
      </c>
      <c r="U133" s="99">
        <f t="shared" si="187"/>
        <v>17766.666666666668</v>
      </c>
      <c r="V133" s="99">
        <f t="shared" si="187"/>
        <v>17766.666666666668</v>
      </c>
      <c r="W133" s="99">
        <f t="shared" si="187"/>
        <v>17766.666666666668</v>
      </c>
      <c r="X133" s="99">
        <f t="shared" si="187"/>
        <v>17766.666666666668</v>
      </c>
      <c r="Y133" s="99">
        <f t="shared" si="187"/>
        <v>17766.666666666668</v>
      </c>
      <c r="Z133" s="99">
        <f t="shared" si="187"/>
        <v>17766.666666666668</v>
      </c>
      <c r="AA133" s="99">
        <f t="shared" si="187"/>
        <v>17766.666666666668</v>
      </c>
      <c r="AB133" s="99">
        <f t="shared" si="187"/>
        <v>17766.666666666668</v>
      </c>
      <c r="AC133" s="99">
        <f t="shared" si="187"/>
        <v>17766.666666666668</v>
      </c>
      <c r="AD133" s="99">
        <f t="shared" si="187"/>
        <v>17766.666666666668</v>
      </c>
      <c r="AE133" s="100">
        <f t="shared" ref="AE133:AE140" si="188">SUM(S133:AD133)</f>
        <v>213199.99999999997</v>
      </c>
      <c r="AF133" s="100">
        <f>AF322</f>
        <v>221728.00000000003</v>
      </c>
      <c r="AG133" s="100">
        <f>AG322</f>
        <v>258718.72000000003</v>
      </c>
      <c r="AH133" s="100">
        <f>AH322</f>
        <v>269067.46880000003</v>
      </c>
      <c r="AI133" s="304" t="s">
        <v>321</v>
      </c>
    </row>
    <row r="134" spans="1:35">
      <c r="A134" s="96"/>
      <c r="B134" s="114" t="s">
        <v>301</v>
      </c>
      <c r="C134" s="98"/>
      <c r="D134" s="98"/>
      <c r="E134" s="98"/>
      <c r="F134" s="115">
        <v>2083.3333333333335</v>
      </c>
      <c r="G134" s="115">
        <v>2083.3333333333335</v>
      </c>
      <c r="H134" s="115">
        <v>2083.3333333333335</v>
      </c>
      <c r="I134" s="115">
        <v>2083.3333333333335</v>
      </c>
      <c r="J134" s="115">
        <v>2083.3333333333335</v>
      </c>
      <c r="K134" s="115">
        <v>2083.3333333333335</v>
      </c>
      <c r="L134" s="115">
        <v>2083.3333333333335</v>
      </c>
      <c r="M134" s="115">
        <v>2083.3333333333335</v>
      </c>
      <c r="N134" s="115">
        <v>2083.3333333333335</v>
      </c>
      <c r="O134" s="115">
        <v>2083.3333333333335</v>
      </c>
      <c r="P134" s="115">
        <v>2083.3333333333335</v>
      </c>
      <c r="Q134" s="115">
        <v>2083.3333333333335</v>
      </c>
      <c r="R134" s="100">
        <f t="shared" si="186"/>
        <v>24999.999999999996</v>
      </c>
      <c r="S134" s="115">
        <v>2083.3333333333335</v>
      </c>
      <c r="T134" s="115">
        <v>2083.3333333333335</v>
      </c>
      <c r="U134" s="115">
        <v>2083.3333333333335</v>
      </c>
      <c r="V134" s="115">
        <v>2083.3333333333335</v>
      </c>
      <c r="W134" s="115">
        <v>2083.3333333333335</v>
      </c>
      <c r="X134" s="115">
        <v>2083.3333333333335</v>
      </c>
      <c r="Y134" s="115">
        <v>2083.3333333333335</v>
      </c>
      <c r="Z134" s="115">
        <v>2083.3333333333335</v>
      </c>
      <c r="AA134" s="115">
        <v>2083.3333333333335</v>
      </c>
      <c r="AB134" s="115">
        <v>2083.3333333333335</v>
      </c>
      <c r="AC134" s="115">
        <v>2083.3333333333335</v>
      </c>
      <c r="AD134" s="115">
        <v>2083.3333333333335</v>
      </c>
      <c r="AE134" s="68">
        <f t="shared" si="188"/>
        <v>24999.999999999996</v>
      </c>
      <c r="AF134" s="117">
        <f>AE134*2</f>
        <v>49999.999999999993</v>
      </c>
      <c r="AG134" s="117">
        <f>AF134*2</f>
        <v>99999.999999999985</v>
      </c>
      <c r="AH134" s="117">
        <f>AG134*2</f>
        <v>199999.99999999997</v>
      </c>
      <c r="AI134" s="304" t="s">
        <v>321</v>
      </c>
    </row>
    <row r="135" spans="1:35">
      <c r="A135" s="96"/>
      <c r="B135" s="97" t="s">
        <v>194</v>
      </c>
      <c r="C135" s="98"/>
      <c r="D135" s="98"/>
      <c r="E135" s="98"/>
      <c r="F135" s="99">
        <f t="shared" ref="F135:K135" si="189">SUM(F133:F134)*F$326</f>
        <v>520.83333333333337</v>
      </c>
      <c r="G135" s="99">
        <f t="shared" si="189"/>
        <v>520.83333333333337</v>
      </c>
      <c r="H135" s="99">
        <f t="shared" si="189"/>
        <v>520.83333333333337</v>
      </c>
      <c r="I135" s="99">
        <f t="shared" si="189"/>
        <v>520.83333333333337</v>
      </c>
      <c r="J135" s="99">
        <f t="shared" si="189"/>
        <v>520.83333333333337</v>
      </c>
      <c r="K135" s="99">
        <f t="shared" si="189"/>
        <v>2708.3333333333335</v>
      </c>
      <c r="L135" s="99">
        <f t="shared" ref="L135:Q135" si="190">SUM(L133:L134)*L$326</f>
        <v>2708.3333333333335</v>
      </c>
      <c r="M135" s="99">
        <f t="shared" si="190"/>
        <v>2708.3333333333335</v>
      </c>
      <c r="N135" s="99">
        <f t="shared" si="190"/>
        <v>2708.3333333333335</v>
      </c>
      <c r="O135" s="99">
        <f t="shared" si="190"/>
        <v>2708.3333333333335</v>
      </c>
      <c r="P135" s="99">
        <f t="shared" si="190"/>
        <v>2708.3333333333335</v>
      </c>
      <c r="Q135" s="99">
        <f t="shared" si="190"/>
        <v>2708.3333333333335</v>
      </c>
      <c r="R135" s="100">
        <f t="shared" si="186"/>
        <v>21562.5</v>
      </c>
      <c r="S135" s="99">
        <f t="shared" ref="S135:AD135" si="191">SUM(S133:S134)*S$326</f>
        <v>4962.5</v>
      </c>
      <c r="T135" s="99">
        <f t="shared" si="191"/>
        <v>4962.5</v>
      </c>
      <c r="U135" s="99">
        <f t="shared" si="191"/>
        <v>4962.5</v>
      </c>
      <c r="V135" s="99">
        <f t="shared" si="191"/>
        <v>4962.5</v>
      </c>
      <c r="W135" s="99">
        <f t="shared" si="191"/>
        <v>4962.5</v>
      </c>
      <c r="X135" s="99">
        <f t="shared" si="191"/>
        <v>4962.5</v>
      </c>
      <c r="Y135" s="99">
        <f t="shared" si="191"/>
        <v>4962.5</v>
      </c>
      <c r="Z135" s="99">
        <f t="shared" si="191"/>
        <v>4962.5</v>
      </c>
      <c r="AA135" s="99">
        <f t="shared" si="191"/>
        <v>4962.5</v>
      </c>
      <c r="AB135" s="99">
        <f t="shared" si="191"/>
        <v>4962.5</v>
      </c>
      <c r="AC135" s="99">
        <f t="shared" si="191"/>
        <v>4962.5</v>
      </c>
      <c r="AD135" s="99">
        <f t="shared" si="191"/>
        <v>4962.5</v>
      </c>
      <c r="AE135" s="100">
        <f t="shared" si="188"/>
        <v>59550</v>
      </c>
      <c r="AF135" s="100">
        <f>SUM(AF133:AF134)*AF$326</f>
        <v>67932</v>
      </c>
      <c r="AG135" s="100">
        <f>SUM(AG133:AG134)*AG$326</f>
        <v>89679.680000000008</v>
      </c>
      <c r="AH135" s="100">
        <f>SUM(AH133:AH134)*AH$326</f>
        <v>117266.86720000001</v>
      </c>
      <c r="AI135" s="304" t="s">
        <v>321</v>
      </c>
    </row>
    <row r="136" spans="1:35">
      <c r="A136" s="96"/>
      <c r="B136" s="97" t="s">
        <v>202</v>
      </c>
      <c r="C136" s="119">
        <f>Assumptions!E71</f>
        <v>300</v>
      </c>
      <c r="D136" s="98"/>
      <c r="E136" s="98"/>
      <c r="F136" s="99">
        <f t="shared" ref="F136:I138" si="192">$C136*F$132</f>
        <v>450</v>
      </c>
      <c r="G136" s="99">
        <f t="shared" si="192"/>
        <v>450</v>
      </c>
      <c r="H136" s="99">
        <f t="shared" si="192"/>
        <v>450</v>
      </c>
      <c r="I136" s="99">
        <f t="shared" si="192"/>
        <v>450</v>
      </c>
      <c r="J136" s="99">
        <f t="shared" ref="J136:Q138" si="193">$C136*J$132</f>
        <v>450</v>
      </c>
      <c r="K136" s="99">
        <f t="shared" si="193"/>
        <v>600</v>
      </c>
      <c r="L136" s="99">
        <f t="shared" si="193"/>
        <v>600</v>
      </c>
      <c r="M136" s="99">
        <f t="shared" si="193"/>
        <v>600</v>
      </c>
      <c r="N136" s="99">
        <f t="shared" si="193"/>
        <v>600</v>
      </c>
      <c r="O136" s="99">
        <f t="shared" si="193"/>
        <v>600</v>
      </c>
      <c r="P136" s="99">
        <f t="shared" si="193"/>
        <v>600</v>
      </c>
      <c r="Q136" s="99">
        <f t="shared" si="193"/>
        <v>600</v>
      </c>
      <c r="R136" s="100">
        <f t="shared" si="186"/>
        <v>6450</v>
      </c>
      <c r="S136" s="99">
        <f t="shared" ref="S136:AD138" si="194">$C136*S$132</f>
        <v>1200</v>
      </c>
      <c r="T136" s="99">
        <f t="shared" si="194"/>
        <v>1200</v>
      </c>
      <c r="U136" s="99">
        <f t="shared" si="194"/>
        <v>1200</v>
      </c>
      <c r="V136" s="99">
        <f t="shared" si="194"/>
        <v>1200</v>
      </c>
      <c r="W136" s="99">
        <f t="shared" si="194"/>
        <v>1200</v>
      </c>
      <c r="X136" s="99">
        <f t="shared" si="194"/>
        <v>1200</v>
      </c>
      <c r="Y136" s="99">
        <f t="shared" si="194"/>
        <v>1200</v>
      </c>
      <c r="Z136" s="99">
        <f t="shared" si="194"/>
        <v>1200</v>
      </c>
      <c r="AA136" s="99">
        <f t="shared" si="194"/>
        <v>1200</v>
      </c>
      <c r="AB136" s="99">
        <f t="shared" si="194"/>
        <v>1200</v>
      </c>
      <c r="AC136" s="99">
        <f t="shared" si="194"/>
        <v>1200</v>
      </c>
      <c r="AD136" s="99">
        <f t="shared" si="194"/>
        <v>1200</v>
      </c>
      <c r="AE136" s="100">
        <f t="shared" si="188"/>
        <v>14400</v>
      </c>
      <c r="AF136" s="100">
        <f t="shared" ref="AF136:AH138" si="195">$C136*AF$132*12</f>
        <v>14400</v>
      </c>
      <c r="AG136" s="100">
        <f t="shared" si="195"/>
        <v>18000</v>
      </c>
      <c r="AH136" s="100">
        <f t="shared" si="195"/>
        <v>18000</v>
      </c>
      <c r="AI136" s="304" t="s">
        <v>321</v>
      </c>
    </row>
    <row r="137" spans="1:35">
      <c r="A137" s="96"/>
      <c r="B137" s="97" t="s">
        <v>60</v>
      </c>
      <c r="C137" s="119">
        <f>Assumptions!F71</f>
        <v>500</v>
      </c>
      <c r="D137" s="98"/>
      <c r="E137" s="98"/>
      <c r="F137" s="99">
        <f t="shared" si="192"/>
        <v>750</v>
      </c>
      <c r="G137" s="99">
        <f t="shared" si="192"/>
        <v>750</v>
      </c>
      <c r="H137" s="99">
        <f t="shared" si="192"/>
        <v>750</v>
      </c>
      <c r="I137" s="99">
        <f t="shared" si="192"/>
        <v>750</v>
      </c>
      <c r="J137" s="99">
        <f t="shared" si="193"/>
        <v>750</v>
      </c>
      <c r="K137" s="99">
        <f t="shared" si="193"/>
        <v>1000</v>
      </c>
      <c r="L137" s="99">
        <f t="shared" si="193"/>
        <v>1000</v>
      </c>
      <c r="M137" s="99">
        <f t="shared" si="193"/>
        <v>1000</v>
      </c>
      <c r="N137" s="99">
        <f t="shared" si="193"/>
        <v>1000</v>
      </c>
      <c r="O137" s="99">
        <f t="shared" si="193"/>
        <v>1000</v>
      </c>
      <c r="P137" s="99">
        <f t="shared" si="193"/>
        <v>1000</v>
      </c>
      <c r="Q137" s="99">
        <f t="shared" si="193"/>
        <v>1000</v>
      </c>
      <c r="R137" s="100">
        <f t="shared" si="186"/>
        <v>10750</v>
      </c>
      <c r="S137" s="99">
        <f t="shared" si="194"/>
        <v>2000</v>
      </c>
      <c r="T137" s="99">
        <f t="shared" si="194"/>
        <v>2000</v>
      </c>
      <c r="U137" s="99">
        <f t="shared" si="194"/>
        <v>2000</v>
      </c>
      <c r="V137" s="99">
        <f t="shared" si="194"/>
        <v>2000</v>
      </c>
      <c r="W137" s="99">
        <f t="shared" si="194"/>
        <v>2000</v>
      </c>
      <c r="X137" s="99">
        <f t="shared" si="194"/>
        <v>2000</v>
      </c>
      <c r="Y137" s="99">
        <f t="shared" si="194"/>
        <v>2000</v>
      </c>
      <c r="Z137" s="99">
        <f t="shared" si="194"/>
        <v>2000</v>
      </c>
      <c r="AA137" s="99">
        <f t="shared" si="194"/>
        <v>2000</v>
      </c>
      <c r="AB137" s="99">
        <f t="shared" si="194"/>
        <v>2000</v>
      </c>
      <c r="AC137" s="99">
        <f t="shared" si="194"/>
        <v>2000</v>
      </c>
      <c r="AD137" s="99">
        <f t="shared" si="194"/>
        <v>2000</v>
      </c>
      <c r="AE137" s="100">
        <f t="shared" si="188"/>
        <v>24000</v>
      </c>
      <c r="AF137" s="100">
        <f t="shared" si="195"/>
        <v>24000</v>
      </c>
      <c r="AG137" s="100">
        <f t="shared" si="195"/>
        <v>30000</v>
      </c>
      <c r="AH137" s="100">
        <f t="shared" si="195"/>
        <v>30000</v>
      </c>
      <c r="AI137" s="304" t="s">
        <v>321</v>
      </c>
    </row>
    <row r="138" spans="1:35">
      <c r="A138" s="96"/>
      <c r="B138" s="97" t="s">
        <v>154</v>
      </c>
      <c r="C138" s="119">
        <f>Assumptions!G71</f>
        <v>100</v>
      </c>
      <c r="D138" s="98"/>
      <c r="E138" s="98"/>
      <c r="F138" s="99">
        <f t="shared" si="192"/>
        <v>150</v>
      </c>
      <c r="G138" s="99">
        <f t="shared" si="192"/>
        <v>150</v>
      </c>
      <c r="H138" s="99">
        <f t="shared" si="192"/>
        <v>150</v>
      </c>
      <c r="I138" s="99">
        <f t="shared" si="192"/>
        <v>150</v>
      </c>
      <c r="J138" s="99">
        <f t="shared" si="193"/>
        <v>150</v>
      </c>
      <c r="K138" s="99">
        <f t="shared" si="193"/>
        <v>200</v>
      </c>
      <c r="L138" s="99">
        <f t="shared" si="193"/>
        <v>200</v>
      </c>
      <c r="M138" s="99">
        <f t="shared" si="193"/>
        <v>200</v>
      </c>
      <c r="N138" s="99">
        <f t="shared" si="193"/>
        <v>200</v>
      </c>
      <c r="O138" s="99">
        <f t="shared" si="193"/>
        <v>200</v>
      </c>
      <c r="P138" s="99">
        <f t="shared" si="193"/>
        <v>200</v>
      </c>
      <c r="Q138" s="99">
        <f t="shared" si="193"/>
        <v>200</v>
      </c>
      <c r="R138" s="100">
        <f t="shared" si="186"/>
        <v>2150</v>
      </c>
      <c r="S138" s="99">
        <f t="shared" si="194"/>
        <v>400</v>
      </c>
      <c r="T138" s="99">
        <f t="shared" si="194"/>
        <v>400</v>
      </c>
      <c r="U138" s="99">
        <f t="shared" si="194"/>
        <v>400</v>
      </c>
      <c r="V138" s="99">
        <f t="shared" si="194"/>
        <v>400</v>
      </c>
      <c r="W138" s="99">
        <f t="shared" si="194"/>
        <v>400</v>
      </c>
      <c r="X138" s="99">
        <f t="shared" si="194"/>
        <v>400</v>
      </c>
      <c r="Y138" s="99">
        <f t="shared" si="194"/>
        <v>400</v>
      </c>
      <c r="Z138" s="99">
        <f t="shared" si="194"/>
        <v>400</v>
      </c>
      <c r="AA138" s="99">
        <f t="shared" si="194"/>
        <v>400</v>
      </c>
      <c r="AB138" s="99">
        <f t="shared" si="194"/>
        <v>400</v>
      </c>
      <c r="AC138" s="99">
        <f t="shared" si="194"/>
        <v>400</v>
      </c>
      <c r="AD138" s="99">
        <f t="shared" si="194"/>
        <v>400</v>
      </c>
      <c r="AE138" s="100">
        <f t="shared" si="188"/>
        <v>4800</v>
      </c>
      <c r="AF138" s="100">
        <f t="shared" si="195"/>
        <v>4800</v>
      </c>
      <c r="AG138" s="100">
        <f t="shared" si="195"/>
        <v>6000</v>
      </c>
      <c r="AH138" s="100">
        <f t="shared" si="195"/>
        <v>6000</v>
      </c>
      <c r="AI138" s="304" t="s">
        <v>321</v>
      </c>
    </row>
    <row r="139" spans="1:35">
      <c r="A139" s="96"/>
      <c r="B139" s="97" t="s">
        <v>158</v>
      </c>
      <c r="C139" s="131">
        <f>Assumptions!I84</f>
        <v>0.02</v>
      </c>
      <c r="D139" s="98"/>
      <c r="E139" s="98"/>
      <c r="F139" s="99">
        <f>$C139*F$92</f>
        <v>0</v>
      </c>
      <c r="G139" s="99">
        <f>$C139*G$92</f>
        <v>0</v>
      </c>
      <c r="H139" s="99">
        <f>$C139*H$92</f>
        <v>0</v>
      </c>
      <c r="I139" s="99">
        <f>$C139*I$92</f>
        <v>105</v>
      </c>
      <c r="J139" s="99">
        <f t="shared" ref="J139:Q139" si="196">$C139*J$92</f>
        <v>157.5</v>
      </c>
      <c r="K139" s="99">
        <f t="shared" si="196"/>
        <v>210</v>
      </c>
      <c r="L139" s="99">
        <f t="shared" si="196"/>
        <v>262.5</v>
      </c>
      <c r="M139" s="99">
        <f t="shared" si="196"/>
        <v>840</v>
      </c>
      <c r="N139" s="99">
        <f t="shared" si="196"/>
        <v>892.5</v>
      </c>
      <c r="O139" s="99">
        <f t="shared" si="196"/>
        <v>945</v>
      </c>
      <c r="P139" s="99">
        <f t="shared" si="196"/>
        <v>1890</v>
      </c>
      <c r="Q139" s="99">
        <f t="shared" si="196"/>
        <v>2100</v>
      </c>
      <c r="R139" s="100">
        <f t="shared" si="186"/>
        <v>7402.5</v>
      </c>
      <c r="S139" s="99">
        <f t="shared" ref="S139:AD139" si="197">$C139*S$92</f>
        <v>2478</v>
      </c>
      <c r="T139" s="99">
        <f t="shared" si="197"/>
        <v>2924.04</v>
      </c>
      <c r="U139" s="99">
        <f t="shared" si="197"/>
        <v>3450.3629999999998</v>
      </c>
      <c r="V139" s="99">
        <f t="shared" si="197"/>
        <v>4071.4380000000001</v>
      </c>
      <c r="W139" s="99">
        <f t="shared" si="197"/>
        <v>4804.2960000000003</v>
      </c>
      <c r="X139" s="99">
        <f t="shared" si="197"/>
        <v>5669.076</v>
      </c>
      <c r="Y139" s="99">
        <f t="shared" si="197"/>
        <v>6689.5080000000007</v>
      </c>
      <c r="Z139" s="99">
        <f t="shared" si="197"/>
        <v>7893.6270000000013</v>
      </c>
      <c r="AA139" s="99">
        <f t="shared" si="197"/>
        <v>9314.487000000001</v>
      </c>
      <c r="AB139" s="99">
        <f t="shared" si="197"/>
        <v>10991.085000000001</v>
      </c>
      <c r="AC139" s="99">
        <f t="shared" si="197"/>
        <v>12969.474000000002</v>
      </c>
      <c r="AD139" s="99">
        <f t="shared" si="197"/>
        <v>15303.981000000002</v>
      </c>
      <c r="AE139" s="100">
        <f t="shared" si="188"/>
        <v>86559.375</v>
      </c>
      <c r="AF139" s="100">
        <f>$C139*AF$92</f>
        <v>211751.19</v>
      </c>
      <c r="AG139" s="100">
        <f>$C139*AG$92</f>
        <v>307071.00900000002</v>
      </c>
      <c r="AH139" s="100">
        <f>$C139*AH$92</f>
        <v>407799.56700000004</v>
      </c>
      <c r="AI139" s="304" t="s">
        <v>321</v>
      </c>
    </row>
    <row r="140" spans="1:35">
      <c r="A140" s="96"/>
      <c r="B140" s="114" t="s">
        <v>317</v>
      </c>
      <c r="C140" s="98"/>
      <c r="D140" s="98"/>
      <c r="E140" s="98"/>
      <c r="F140" s="357">
        <f>COGS!L38</f>
        <v>0</v>
      </c>
      <c r="G140" s="115">
        <f>COGS!M38</f>
        <v>0</v>
      </c>
      <c r="H140" s="115">
        <f>COGS!N38</f>
        <v>0</v>
      </c>
      <c r="I140" s="115">
        <f>COGS!O38</f>
        <v>2868.17</v>
      </c>
      <c r="J140" s="115">
        <f>COGS!P38</f>
        <v>4302.26</v>
      </c>
      <c r="K140" s="115">
        <f>COGS!Q38</f>
        <v>5736.34</v>
      </c>
      <c r="L140" s="115">
        <f>COGS!R38</f>
        <v>7170.43</v>
      </c>
      <c r="M140" s="115">
        <f>COGS!S38</f>
        <v>22945.37</v>
      </c>
      <c r="N140" s="115">
        <f>COGS!T38</f>
        <v>24379.45</v>
      </c>
      <c r="O140" s="115">
        <f>COGS!U38</f>
        <v>25813.54</v>
      </c>
      <c r="P140" s="115">
        <f>COGS!V38</f>
        <v>51627.08</v>
      </c>
      <c r="Q140" s="115">
        <f>COGS!W38</f>
        <v>57363.42</v>
      </c>
      <c r="R140" s="100">
        <f t="shared" ref="R140:R146" si="198">SUM(F140:Q140)</f>
        <v>202206.06</v>
      </c>
      <c r="S140" s="115">
        <f>COGS!X38</f>
        <v>67688.83</v>
      </c>
      <c r="T140" s="115">
        <f>COGS!Y38</f>
        <v>79872.820000000007</v>
      </c>
      <c r="U140" s="115">
        <f>COGS!Z38</f>
        <v>76043.490000000005</v>
      </c>
      <c r="V140" s="115">
        <f>COGS!AA38</f>
        <v>89731.53</v>
      </c>
      <c r="W140" s="115">
        <f>COGS!AB38</f>
        <v>105883.18</v>
      </c>
      <c r="X140" s="115">
        <f>COGS!AC38</f>
        <v>124942.31</v>
      </c>
      <c r="Y140" s="115">
        <f>COGS!AD38</f>
        <v>147431.88</v>
      </c>
      <c r="Z140" s="115">
        <f>COGS!AE38</f>
        <v>148049.91</v>
      </c>
      <c r="AA140" s="115">
        <f>COGS!AF38</f>
        <v>174699.03</v>
      </c>
      <c r="AB140" s="115">
        <f>COGS!AG38</f>
        <v>186072.66</v>
      </c>
      <c r="AC140" s="115">
        <f>COGS!AH38</f>
        <v>219565.63</v>
      </c>
      <c r="AD140" s="115">
        <f>COGS!AI38</f>
        <v>259087.48</v>
      </c>
      <c r="AE140" s="68">
        <f t="shared" si="188"/>
        <v>1679068.75</v>
      </c>
      <c r="AF140" s="370">
        <f>COGS!F38-0.985</f>
        <v>3584823.1950000003</v>
      </c>
      <c r="AG140" s="370">
        <f>COGS!G38*0.975</f>
        <v>5068569.8310000012</v>
      </c>
      <c r="AH140" s="370">
        <f>COGS!H38*0.95</f>
        <v>6558618.4740000004</v>
      </c>
      <c r="AI140" s="304" t="s">
        <v>321</v>
      </c>
    </row>
    <row r="141" spans="1:35">
      <c r="A141" s="96"/>
      <c r="B141" s="69" t="s">
        <v>304</v>
      </c>
      <c r="C141" s="132">
        <f>Assumptions!I85</f>
        <v>0.02</v>
      </c>
      <c r="D141" s="98"/>
      <c r="E141" s="98"/>
      <c r="F141" s="67">
        <f>$C$141*F92</f>
        <v>0</v>
      </c>
      <c r="G141" s="67">
        <f t="shared" ref="G141:Q141" si="199">$C$141*G92</f>
        <v>0</v>
      </c>
      <c r="H141" s="67">
        <f t="shared" si="199"/>
        <v>0</v>
      </c>
      <c r="I141" s="67">
        <f t="shared" si="199"/>
        <v>105</v>
      </c>
      <c r="J141" s="67">
        <f t="shared" si="199"/>
        <v>157.5</v>
      </c>
      <c r="K141" s="67">
        <f t="shared" si="199"/>
        <v>210</v>
      </c>
      <c r="L141" s="67">
        <f t="shared" si="199"/>
        <v>262.5</v>
      </c>
      <c r="M141" s="67">
        <f t="shared" si="199"/>
        <v>840</v>
      </c>
      <c r="N141" s="67">
        <f t="shared" si="199"/>
        <v>892.5</v>
      </c>
      <c r="O141" s="67">
        <f t="shared" si="199"/>
        <v>945</v>
      </c>
      <c r="P141" s="67">
        <f t="shared" si="199"/>
        <v>1890</v>
      </c>
      <c r="Q141" s="67">
        <f t="shared" si="199"/>
        <v>2100</v>
      </c>
      <c r="R141" s="100">
        <f t="shared" si="198"/>
        <v>7402.5</v>
      </c>
      <c r="S141" s="67">
        <f>$C$141*S92</f>
        <v>2478</v>
      </c>
      <c r="T141" s="67">
        <f t="shared" ref="T141:AH141" si="200">$C$141*T92</f>
        <v>2924.04</v>
      </c>
      <c r="U141" s="67">
        <f t="shared" si="200"/>
        <v>3450.3629999999998</v>
      </c>
      <c r="V141" s="67">
        <f t="shared" si="200"/>
        <v>4071.4380000000001</v>
      </c>
      <c r="W141" s="67">
        <f t="shared" si="200"/>
        <v>4804.2960000000003</v>
      </c>
      <c r="X141" s="67">
        <f t="shared" si="200"/>
        <v>5669.076</v>
      </c>
      <c r="Y141" s="67">
        <f t="shared" si="200"/>
        <v>6689.5080000000007</v>
      </c>
      <c r="Z141" s="67">
        <f t="shared" si="200"/>
        <v>7893.6270000000013</v>
      </c>
      <c r="AA141" s="67">
        <f t="shared" si="200"/>
        <v>9314.487000000001</v>
      </c>
      <c r="AB141" s="67">
        <f t="shared" si="200"/>
        <v>10991.085000000001</v>
      </c>
      <c r="AC141" s="67">
        <f t="shared" si="200"/>
        <v>12969.474000000002</v>
      </c>
      <c r="AD141" s="67">
        <f t="shared" si="200"/>
        <v>15303.981000000002</v>
      </c>
      <c r="AE141" s="100">
        <f t="shared" ref="AE141:AE146" si="201">SUM(S141:AD141)</f>
        <v>86559.375</v>
      </c>
      <c r="AF141" s="68">
        <f t="shared" si="200"/>
        <v>211751.19</v>
      </c>
      <c r="AG141" s="68">
        <f t="shared" si="200"/>
        <v>307071.00900000002</v>
      </c>
      <c r="AH141" s="68">
        <f t="shared" si="200"/>
        <v>407799.56700000004</v>
      </c>
      <c r="AI141" s="304" t="s">
        <v>321</v>
      </c>
    </row>
    <row r="142" spans="1:35">
      <c r="A142" s="96"/>
      <c r="B142" s="97" t="s">
        <v>203</v>
      </c>
      <c r="C142" s="98"/>
      <c r="D142" s="98"/>
      <c r="E142" s="98"/>
      <c r="F142" s="67">
        <f t="shared" ref="F142:Q142" si="202">F391</f>
        <v>1800</v>
      </c>
      <c r="G142" s="67">
        <f>G391</f>
        <v>1800</v>
      </c>
      <c r="H142" s="67">
        <f t="shared" si="202"/>
        <v>1800</v>
      </c>
      <c r="I142" s="67">
        <f>I391</f>
        <v>1800</v>
      </c>
      <c r="J142" s="99">
        <f t="shared" si="202"/>
        <v>1800</v>
      </c>
      <c r="K142" s="99">
        <f t="shared" si="202"/>
        <v>3150</v>
      </c>
      <c r="L142" s="99">
        <f t="shared" si="202"/>
        <v>3150</v>
      </c>
      <c r="M142" s="99">
        <f t="shared" si="202"/>
        <v>3150</v>
      </c>
      <c r="N142" s="99">
        <f t="shared" si="202"/>
        <v>3150</v>
      </c>
      <c r="O142" s="99">
        <f t="shared" si="202"/>
        <v>3150</v>
      </c>
      <c r="P142" s="99">
        <f t="shared" si="202"/>
        <v>3150</v>
      </c>
      <c r="Q142" s="99">
        <f t="shared" si="202"/>
        <v>3150</v>
      </c>
      <c r="R142" s="100">
        <f t="shared" si="198"/>
        <v>31050</v>
      </c>
      <c r="S142" s="99">
        <f t="shared" ref="S142:AD142" si="203">S391</f>
        <v>6300</v>
      </c>
      <c r="T142" s="99">
        <f t="shared" si="203"/>
        <v>7200</v>
      </c>
      <c r="U142" s="99">
        <f t="shared" si="203"/>
        <v>8100</v>
      </c>
      <c r="V142" s="99">
        <f t="shared" si="203"/>
        <v>8100</v>
      </c>
      <c r="W142" s="99">
        <f t="shared" si="203"/>
        <v>8100</v>
      </c>
      <c r="X142" s="99">
        <f t="shared" si="203"/>
        <v>8100</v>
      </c>
      <c r="Y142" s="99">
        <f t="shared" si="203"/>
        <v>8100</v>
      </c>
      <c r="Z142" s="99">
        <f t="shared" si="203"/>
        <v>8100</v>
      </c>
      <c r="AA142" s="99">
        <f t="shared" si="203"/>
        <v>8100</v>
      </c>
      <c r="AB142" s="99">
        <f t="shared" si="203"/>
        <v>8100</v>
      </c>
      <c r="AC142" s="99">
        <f t="shared" si="203"/>
        <v>8100</v>
      </c>
      <c r="AD142" s="99">
        <f t="shared" si="203"/>
        <v>8100</v>
      </c>
      <c r="AE142" s="100">
        <f t="shared" si="201"/>
        <v>94500</v>
      </c>
      <c r="AF142" s="100">
        <f>AF391</f>
        <v>10800</v>
      </c>
      <c r="AG142" s="100">
        <f>AG391</f>
        <v>16200</v>
      </c>
      <c r="AH142" s="100">
        <f>AH391</f>
        <v>18000</v>
      </c>
      <c r="AI142" s="304" t="s">
        <v>321</v>
      </c>
    </row>
    <row r="143" spans="1:35">
      <c r="A143" s="96"/>
      <c r="B143" s="114" t="s">
        <v>157</v>
      </c>
      <c r="C143" s="133">
        <f>Assumptions!I94</f>
        <v>0.5</v>
      </c>
      <c r="D143" s="98"/>
      <c r="E143" s="324">
        <v>0</v>
      </c>
      <c r="F143" s="129">
        <f>$C143*F388</f>
        <v>90</v>
      </c>
      <c r="G143" s="321">
        <f t="shared" ref="G143:AH143" si="204">$C143*G388</f>
        <v>90</v>
      </c>
      <c r="H143" s="129">
        <f t="shared" si="204"/>
        <v>90</v>
      </c>
      <c r="I143" s="129">
        <f t="shared" si="204"/>
        <v>90</v>
      </c>
      <c r="J143" s="129">
        <f t="shared" si="204"/>
        <v>90</v>
      </c>
      <c r="K143" s="129">
        <f t="shared" si="204"/>
        <v>157.5</v>
      </c>
      <c r="L143" s="129">
        <f t="shared" si="204"/>
        <v>157.5</v>
      </c>
      <c r="M143" s="129">
        <f t="shared" si="204"/>
        <v>157.5</v>
      </c>
      <c r="N143" s="129">
        <f t="shared" si="204"/>
        <v>157.5</v>
      </c>
      <c r="O143" s="129">
        <f t="shared" si="204"/>
        <v>157.5</v>
      </c>
      <c r="P143" s="129">
        <f t="shared" si="204"/>
        <v>157.5</v>
      </c>
      <c r="Q143" s="129">
        <f t="shared" si="204"/>
        <v>157.5</v>
      </c>
      <c r="R143" s="100">
        <f t="shared" si="198"/>
        <v>1552.5</v>
      </c>
      <c r="S143" s="129">
        <f t="shared" si="204"/>
        <v>315</v>
      </c>
      <c r="T143" s="129">
        <f t="shared" si="204"/>
        <v>360</v>
      </c>
      <c r="U143" s="129">
        <f t="shared" si="204"/>
        <v>405</v>
      </c>
      <c r="V143" s="129">
        <f t="shared" si="204"/>
        <v>405</v>
      </c>
      <c r="W143" s="129">
        <f t="shared" si="204"/>
        <v>405</v>
      </c>
      <c r="X143" s="129">
        <f t="shared" si="204"/>
        <v>405</v>
      </c>
      <c r="Y143" s="129">
        <f t="shared" si="204"/>
        <v>405</v>
      </c>
      <c r="Z143" s="129">
        <f t="shared" si="204"/>
        <v>405</v>
      </c>
      <c r="AA143" s="129">
        <f t="shared" si="204"/>
        <v>405</v>
      </c>
      <c r="AB143" s="129">
        <f t="shared" si="204"/>
        <v>405</v>
      </c>
      <c r="AC143" s="129">
        <f t="shared" si="204"/>
        <v>405</v>
      </c>
      <c r="AD143" s="129">
        <f t="shared" si="204"/>
        <v>405</v>
      </c>
      <c r="AE143" s="100">
        <f t="shared" si="201"/>
        <v>4725</v>
      </c>
      <c r="AF143" s="118">
        <f t="shared" si="204"/>
        <v>540</v>
      </c>
      <c r="AG143" s="118">
        <f t="shared" si="204"/>
        <v>810</v>
      </c>
      <c r="AH143" s="118">
        <f t="shared" si="204"/>
        <v>900</v>
      </c>
      <c r="AI143" s="304" t="s">
        <v>321</v>
      </c>
    </row>
    <row r="144" spans="1:35">
      <c r="A144" s="96"/>
      <c r="B144" s="97" t="s">
        <v>204</v>
      </c>
      <c r="C144" s="133">
        <f>Assumptions!I95</f>
        <v>0.5</v>
      </c>
      <c r="D144" s="98"/>
      <c r="E144" s="98"/>
      <c r="F144" s="99">
        <f t="shared" ref="F144:Q144" si="205">$C144*F388</f>
        <v>90</v>
      </c>
      <c r="G144" s="99">
        <f t="shared" si="205"/>
        <v>90</v>
      </c>
      <c r="H144" s="99">
        <f t="shared" si="205"/>
        <v>90</v>
      </c>
      <c r="I144" s="99">
        <f t="shared" si="205"/>
        <v>90</v>
      </c>
      <c r="J144" s="99">
        <f t="shared" si="205"/>
        <v>90</v>
      </c>
      <c r="K144" s="99">
        <f t="shared" si="205"/>
        <v>157.5</v>
      </c>
      <c r="L144" s="99">
        <f t="shared" si="205"/>
        <v>157.5</v>
      </c>
      <c r="M144" s="99">
        <f t="shared" si="205"/>
        <v>157.5</v>
      </c>
      <c r="N144" s="99">
        <f t="shared" si="205"/>
        <v>157.5</v>
      </c>
      <c r="O144" s="99">
        <f t="shared" si="205"/>
        <v>157.5</v>
      </c>
      <c r="P144" s="99">
        <f t="shared" si="205"/>
        <v>157.5</v>
      </c>
      <c r="Q144" s="99">
        <f t="shared" si="205"/>
        <v>157.5</v>
      </c>
      <c r="R144" s="100">
        <f t="shared" si="198"/>
        <v>1552.5</v>
      </c>
      <c r="S144" s="99">
        <f t="shared" ref="S144:AD144" si="206">$C144*S388</f>
        <v>315</v>
      </c>
      <c r="T144" s="99">
        <f t="shared" si="206"/>
        <v>360</v>
      </c>
      <c r="U144" s="99">
        <f t="shared" si="206"/>
        <v>405</v>
      </c>
      <c r="V144" s="99">
        <f t="shared" si="206"/>
        <v>405</v>
      </c>
      <c r="W144" s="99">
        <f t="shared" si="206"/>
        <v>405</v>
      </c>
      <c r="X144" s="99">
        <f t="shared" si="206"/>
        <v>405</v>
      </c>
      <c r="Y144" s="99">
        <f t="shared" si="206"/>
        <v>405</v>
      </c>
      <c r="Z144" s="99">
        <f t="shared" si="206"/>
        <v>405</v>
      </c>
      <c r="AA144" s="99">
        <f t="shared" si="206"/>
        <v>405</v>
      </c>
      <c r="AB144" s="99">
        <f t="shared" si="206"/>
        <v>405</v>
      </c>
      <c r="AC144" s="99">
        <f t="shared" si="206"/>
        <v>405</v>
      </c>
      <c r="AD144" s="99">
        <f t="shared" si="206"/>
        <v>405</v>
      </c>
      <c r="AE144" s="100">
        <f t="shared" si="201"/>
        <v>4725</v>
      </c>
      <c r="AF144" s="100">
        <f>$C144*AF388*12</f>
        <v>6480</v>
      </c>
      <c r="AG144" s="100">
        <f>$C144*AG388*12</f>
        <v>9720</v>
      </c>
      <c r="AH144" s="100">
        <f>$C144*AH388*12</f>
        <v>10800</v>
      </c>
      <c r="AI144" s="304" t="s">
        <v>321</v>
      </c>
    </row>
    <row r="145" spans="1:35">
      <c r="A145" s="96"/>
      <c r="B145" s="97" t="s">
        <v>195</v>
      </c>
      <c r="C145" s="98"/>
      <c r="D145" s="98"/>
      <c r="E145" s="98"/>
      <c r="F145" s="99">
        <f>F378</f>
        <v>35.416666666666664</v>
      </c>
      <c r="G145" s="99">
        <f t="shared" ref="G145:Q145" si="207">G378</f>
        <v>35.416666666666664</v>
      </c>
      <c r="H145" s="99">
        <f t="shared" si="207"/>
        <v>35.416666666666664</v>
      </c>
      <c r="I145" s="99">
        <f t="shared" si="207"/>
        <v>35.416666666666664</v>
      </c>
      <c r="J145" s="99">
        <f t="shared" si="207"/>
        <v>35.416666666666664</v>
      </c>
      <c r="K145" s="99">
        <f t="shared" si="207"/>
        <v>47.222222222222221</v>
      </c>
      <c r="L145" s="99">
        <f t="shared" si="207"/>
        <v>47.222222222222221</v>
      </c>
      <c r="M145" s="99">
        <f t="shared" si="207"/>
        <v>47.222222222222221</v>
      </c>
      <c r="N145" s="99">
        <f t="shared" si="207"/>
        <v>47.222222222222221</v>
      </c>
      <c r="O145" s="99">
        <f t="shared" si="207"/>
        <v>47.222222222222221</v>
      </c>
      <c r="P145" s="99">
        <f t="shared" si="207"/>
        <v>47.222222222222221</v>
      </c>
      <c r="Q145" s="99">
        <f t="shared" si="207"/>
        <v>47.222222222222221</v>
      </c>
      <c r="R145" s="100">
        <f t="shared" si="198"/>
        <v>507.63888888888891</v>
      </c>
      <c r="S145" s="99">
        <f t="shared" ref="S145:AD145" ca="1" si="208">S378</f>
        <v>94.444444444444443</v>
      </c>
      <c r="T145" s="99">
        <f t="shared" ca="1" si="208"/>
        <v>94.444444444444443</v>
      </c>
      <c r="U145" s="99">
        <f t="shared" ca="1" si="208"/>
        <v>94.444444444444443</v>
      </c>
      <c r="V145" s="99">
        <f t="shared" ca="1" si="208"/>
        <v>94.444444444444443</v>
      </c>
      <c r="W145" s="99">
        <f t="shared" ca="1" si="208"/>
        <v>94.444444444444443</v>
      </c>
      <c r="X145" s="99">
        <f t="shared" ca="1" si="208"/>
        <v>94.444444444444443</v>
      </c>
      <c r="Y145" s="99">
        <f t="shared" ca="1" si="208"/>
        <v>94.444444444444443</v>
      </c>
      <c r="Z145" s="99">
        <f t="shared" ca="1" si="208"/>
        <v>94.444444444444443</v>
      </c>
      <c r="AA145" s="99">
        <f t="shared" ca="1" si="208"/>
        <v>94.444444444444443</v>
      </c>
      <c r="AB145" s="99">
        <f t="shared" ca="1" si="208"/>
        <v>94.444444444444443</v>
      </c>
      <c r="AC145" s="99">
        <f t="shared" ca="1" si="208"/>
        <v>94.444444444444443</v>
      </c>
      <c r="AD145" s="99">
        <f t="shared" ca="1" si="208"/>
        <v>94.444444444444443</v>
      </c>
      <c r="AE145" s="100">
        <f t="shared" ca="1" si="201"/>
        <v>1133.3333333333333</v>
      </c>
      <c r="AF145" s="100">
        <f>AF378</f>
        <v>1133.3333333333333</v>
      </c>
      <c r="AG145" s="100">
        <f>AG378</f>
        <v>950</v>
      </c>
      <c r="AH145" s="100">
        <f>AH378</f>
        <v>483.33333333333331</v>
      </c>
      <c r="AI145" s="304" t="s">
        <v>321</v>
      </c>
    </row>
    <row r="146" spans="1:35">
      <c r="A146" s="83" t="s">
        <v>196</v>
      </c>
      <c r="B146" s="102"/>
      <c r="C146" s="85"/>
      <c r="D146" s="85"/>
      <c r="E146" s="85"/>
      <c r="F146" s="103">
        <f t="shared" ref="F146:Q146" si="209">SUM(F133:F145)</f>
        <v>5969.5833333333339</v>
      </c>
      <c r="G146" s="103">
        <f t="shared" si="209"/>
        <v>5969.5833333333339</v>
      </c>
      <c r="H146" s="103">
        <f t="shared" si="209"/>
        <v>5969.5833333333339</v>
      </c>
      <c r="I146" s="103">
        <f t="shared" si="209"/>
        <v>9047.7533333333322</v>
      </c>
      <c r="J146" s="103">
        <f t="shared" si="209"/>
        <v>10586.843333333332</v>
      </c>
      <c r="K146" s="103">
        <f t="shared" si="209"/>
        <v>25010.228888888891</v>
      </c>
      <c r="L146" s="103">
        <f t="shared" si="209"/>
        <v>26549.318888888891</v>
      </c>
      <c r="M146" s="103">
        <f t="shared" si="209"/>
        <v>43479.258888888886</v>
      </c>
      <c r="N146" s="103">
        <f t="shared" si="209"/>
        <v>45018.338888888888</v>
      </c>
      <c r="O146" s="103">
        <f t="shared" si="209"/>
        <v>46557.428888888884</v>
      </c>
      <c r="P146" s="103">
        <f t="shared" si="209"/>
        <v>74260.968888888892</v>
      </c>
      <c r="Q146" s="103">
        <f t="shared" si="209"/>
        <v>80417.308888888889</v>
      </c>
      <c r="R146" s="104">
        <f t="shared" si="198"/>
        <v>378836.19888888893</v>
      </c>
      <c r="S146" s="103">
        <f t="shared" ref="S146:AD146" ca="1" si="210">SUM(S133:S145)</f>
        <v>108081.77444444444</v>
      </c>
      <c r="T146" s="103">
        <f t="shared" ca="1" si="210"/>
        <v>122147.84444444445</v>
      </c>
      <c r="U146" s="103">
        <f t="shared" ca="1" si="210"/>
        <v>120361.16044444444</v>
      </c>
      <c r="V146" s="103">
        <f t="shared" ca="1" si="210"/>
        <v>135291.35044444443</v>
      </c>
      <c r="W146" s="103">
        <f t="shared" ca="1" si="210"/>
        <v>152908.71644444444</v>
      </c>
      <c r="X146" s="103">
        <f t="shared" ca="1" si="210"/>
        <v>173697.40644444444</v>
      </c>
      <c r="Y146" s="103">
        <f t="shared" ca="1" si="210"/>
        <v>198227.84044444445</v>
      </c>
      <c r="Z146" s="103">
        <f t="shared" ca="1" si="210"/>
        <v>201254.10844444446</v>
      </c>
      <c r="AA146" s="103">
        <f t="shared" ca="1" si="210"/>
        <v>230744.94844444442</v>
      </c>
      <c r="AB146" s="103">
        <f t="shared" ca="1" si="210"/>
        <v>245471.77444444443</v>
      </c>
      <c r="AC146" s="103">
        <f t="shared" ca="1" si="210"/>
        <v>282921.52244444442</v>
      </c>
      <c r="AD146" s="103">
        <f t="shared" ca="1" si="210"/>
        <v>327112.38644444448</v>
      </c>
      <c r="AE146" s="104">
        <f t="shared" ca="1" si="201"/>
        <v>2298220.833333333</v>
      </c>
      <c r="AF146" s="104">
        <f>SUM(AF133:AF145)</f>
        <v>4410138.9083333332</v>
      </c>
      <c r="AG146" s="104">
        <f>SUM(AG133:AG145)</f>
        <v>6212790.2490000008</v>
      </c>
      <c r="AH146" s="104">
        <f>SUM(AH133:AH145)</f>
        <v>8044735.2773333332</v>
      </c>
      <c r="AI146" s="304" t="s">
        <v>321</v>
      </c>
    </row>
    <row r="147" spans="1:35">
      <c r="A147" s="120"/>
      <c r="B147" s="121" t="s">
        <v>197</v>
      </c>
      <c r="C147" s="98"/>
      <c r="D147" s="98"/>
      <c r="E147" s="98"/>
      <c r="F147" s="122">
        <f t="shared" ref="F147:O147" si="211">IF(F$92&gt;0,F146/F$92,0)</f>
        <v>0</v>
      </c>
      <c r="G147" s="122">
        <f t="shared" si="211"/>
        <v>0</v>
      </c>
      <c r="H147" s="122">
        <f t="shared" si="211"/>
        <v>0</v>
      </c>
      <c r="I147" s="122">
        <f t="shared" si="211"/>
        <v>1.7233815873015872</v>
      </c>
      <c r="J147" s="122">
        <f t="shared" si="211"/>
        <v>1.3443610582010581</v>
      </c>
      <c r="K147" s="122">
        <f t="shared" si="211"/>
        <v>2.3819265608465612</v>
      </c>
      <c r="L147" s="122">
        <f t="shared" si="211"/>
        <v>2.022805248677249</v>
      </c>
      <c r="M147" s="122">
        <f t="shared" si="211"/>
        <v>1.0352204497354496</v>
      </c>
      <c r="N147" s="122">
        <f t="shared" si="211"/>
        <v>1.0088143168378463</v>
      </c>
      <c r="O147" s="122">
        <f t="shared" si="211"/>
        <v>0.98534241034685466</v>
      </c>
      <c r="P147" s="122">
        <f t="shared" ref="P147:Y147" si="212">IF(P$92&gt;0,P146/P$92,0)</f>
        <v>0.78583035861258088</v>
      </c>
      <c r="Q147" s="122">
        <f t="shared" si="212"/>
        <v>0.76587913227513227</v>
      </c>
      <c r="R147" s="123">
        <f t="shared" si="212"/>
        <v>1.0235358294870354</v>
      </c>
      <c r="S147" s="122">
        <f t="shared" ca="1" si="212"/>
        <v>0.8723307057662989</v>
      </c>
      <c r="T147" s="122">
        <f t="shared" ca="1" si="212"/>
        <v>0.83547314294226105</v>
      </c>
      <c r="U147" s="122">
        <f t="shared" ca="1" si="212"/>
        <v>0.69767245037374004</v>
      </c>
      <c r="V147" s="122">
        <f t="shared" ca="1" si="212"/>
        <v>0.6645875508576794</v>
      </c>
      <c r="W147" s="122">
        <f t="shared" ca="1" si="212"/>
        <v>0.63654993965585982</v>
      </c>
      <c r="X147" s="122">
        <f t="shared" ca="1" si="212"/>
        <v>0.61278912628599247</v>
      </c>
      <c r="Y147" s="122">
        <f t="shared" ca="1" si="212"/>
        <v>0.59265297371479164</v>
      </c>
      <c r="Z147" s="122">
        <f t="shared" ref="Z147:AE147" ca="1" si="213">IF(Z$92&gt;0,Z146/Z$92,0)</f>
        <v>0.50991542530308165</v>
      </c>
      <c r="AA147" s="122">
        <f t="shared" ca="1" si="213"/>
        <v>0.4954539062525814</v>
      </c>
      <c r="AB147" s="122">
        <f t="shared" ca="1" si="213"/>
        <v>0.44667432640989391</v>
      </c>
      <c r="AC147" s="122">
        <f t="shared" ca="1" si="213"/>
        <v>0.43628835285755518</v>
      </c>
      <c r="AD147" s="122">
        <f t="shared" ca="1" si="213"/>
        <v>0.4274866604244274</v>
      </c>
      <c r="AE147" s="123">
        <f t="shared" ca="1" si="213"/>
        <v>0.53101604149367587</v>
      </c>
      <c r="AF147" s="123">
        <f>IF(AF$92&gt;0,AF146/AF$92,0)</f>
        <v>0.41653970476702712</v>
      </c>
      <c r="AG147" s="123">
        <f>IF(AG$92&gt;0,AG146/AG$92,0)</f>
        <v>0.40464844071294276</v>
      </c>
      <c r="AH147" s="123">
        <f>IF(AH$92&gt;0,AH146/AH$92,0)</f>
        <v>0.3945435909368355</v>
      </c>
      <c r="AI147" s="304" t="s">
        <v>321</v>
      </c>
    </row>
    <row r="148" spans="1:35">
      <c r="A148" s="96"/>
      <c r="B148" s="97"/>
      <c r="C148" s="98"/>
      <c r="D148" s="98"/>
      <c r="E148" s="98"/>
      <c r="F148" s="99"/>
      <c r="G148" s="99"/>
      <c r="H148" s="99"/>
      <c r="I148" s="99"/>
      <c r="J148" s="99"/>
      <c r="K148" s="99"/>
      <c r="L148" s="99"/>
      <c r="M148" s="99"/>
      <c r="N148" s="99"/>
      <c r="O148" s="99"/>
      <c r="P148" s="99"/>
      <c r="Q148" s="99"/>
      <c r="R148" s="100"/>
      <c r="S148" s="99"/>
      <c r="T148" s="99"/>
      <c r="U148" s="99"/>
      <c r="V148" s="99"/>
      <c r="W148" s="99"/>
      <c r="X148" s="99"/>
      <c r="Y148" s="99"/>
      <c r="Z148" s="99"/>
      <c r="AA148" s="99"/>
      <c r="AB148" s="99"/>
      <c r="AC148" s="99"/>
      <c r="AD148" s="99"/>
      <c r="AE148" s="100"/>
      <c r="AF148" s="100"/>
      <c r="AG148" s="100"/>
      <c r="AH148" s="100"/>
      <c r="AI148" s="304" t="s">
        <v>321</v>
      </c>
    </row>
    <row r="149" spans="1:35">
      <c r="A149" s="83" t="s">
        <v>205</v>
      </c>
      <c r="B149" s="102"/>
      <c r="C149" s="85"/>
      <c r="D149" s="85"/>
      <c r="E149" s="85"/>
      <c r="F149" s="103">
        <f>F105+F117+F128+F146</f>
        <v>7509.166666666667</v>
      </c>
      <c r="G149" s="103">
        <f t="shared" ref="G149:Q149" si="214">G105+G117+G128+G146</f>
        <v>7509.166666666667</v>
      </c>
      <c r="H149" s="103">
        <f t="shared" si="214"/>
        <v>22509.166666666664</v>
      </c>
      <c r="I149" s="103">
        <f t="shared" si="214"/>
        <v>25587.336666666662</v>
      </c>
      <c r="J149" s="103">
        <f t="shared" si="214"/>
        <v>22126.426666666666</v>
      </c>
      <c r="K149" s="103">
        <f t="shared" si="214"/>
        <v>44723.42333333334</v>
      </c>
      <c r="L149" s="103">
        <f t="shared" si="214"/>
        <v>51262.513333333336</v>
      </c>
      <c r="M149" s="103">
        <f t="shared" si="214"/>
        <v>68192.453333333338</v>
      </c>
      <c r="N149" s="103">
        <f t="shared" si="214"/>
        <v>69731.533333333326</v>
      </c>
      <c r="O149" s="103">
        <f t="shared" si="214"/>
        <v>81270.623333333322</v>
      </c>
      <c r="P149" s="103">
        <f t="shared" si="214"/>
        <v>128974.16333333333</v>
      </c>
      <c r="Q149" s="103">
        <f t="shared" si="214"/>
        <v>115130.50333333333</v>
      </c>
      <c r="R149" s="104">
        <f>SUM(F149:Q149)</f>
        <v>644526.47666666657</v>
      </c>
      <c r="S149" s="103">
        <f t="shared" ref="S149:AD149" ca="1" si="215">S105+S117+S128+S146</f>
        <v>199871.49666666664</v>
      </c>
      <c r="T149" s="103">
        <f t="shared" ca="1" si="215"/>
        <v>226893.40000000002</v>
      </c>
      <c r="U149" s="103">
        <f t="shared" ca="1" si="215"/>
        <v>268866.54933333333</v>
      </c>
      <c r="V149" s="103">
        <f t="shared" ca="1" si="215"/>
        <v>290006.73933333333</v>
      </c>
      <c r="W149" s="103">
        <f t="shared" ca="1" si="215"/>
        <v>284953.10533333331</v>
      </c>
      <c r="X149" s="103">
        <f t="shared" ca="1" si="215"/>
        <v>314389.79533333331</v>
      </c>
      <c r="Y149" s="103">
        <f t="shared" ca="1" si="215"/>
        <v>365848.22933333332</v>
      </c>
      <c r="Z149" s="103">
        <f t="shared" ca="1" si="215"/>
        <v>383925.49733333336</v>
      </c>
      <c r="AA149" s="103">
        <f t="shared" ca="1" si="215"/>
        <v>431177.33733333333</v>
      </c>
      <c r="AB149" s="103">
        <f t="shared" ca="1" si="215"/>
        <v>466862.16333333333</v>
      </c>
      <c r="AC149" s="103">
        <f t="shared" ca="1" si="215"/>
        <v>561464.91133333324</v>
      </c>
      <c r="AD149" s="103">
        <f t="shared" ca="1" si="215"/>
        <v>564153.77533333329</v>
      </c>
      <c r="AE149" s="104">
        <f ca="1">SUM(S149:AD149)</f>
        <v>4358413</v>
      </c>
      <c r="AF149" s="104">
        <f>AF105+AF117+AF128+AF146</f>
        <v>8746122.2416666672</v>
      </c>
      <c r="AG149" s="104">
        <f>AG105+AG117+AG128+AG146</f>
        <v>12006900.382333335</v>
      </c>
      <c r="AH149" s="104">
        <f>AH105+AH117+AH128+AH146</f>
        <v>16319162.069333334</v>
      </c>
      <c r="AI149" s="304" t="s">
        <v>321</v>
      </c>
    </row>
    <row r="150" spans="1:35">
      <c r="A150" s="120"/>
      <c r="B150" s="121" t="s">
        <v>197</v>
      </c>
      <c r="C150" s="98"/>
      <c r="D150" s="98"/>
      <c r="E150" s="98"/>
      <c r="F150" s="122">
        <f t="shared" ref="F150:O150" si="216">IF(F$92&gt;0,F149/F$92,0)</f>
        <v>0</v>
      </c>
      <c r="G150" s="122">
        <f t="shared" si="216"/>
        <v>0</v>
      </c>
      <c r="H150" s="122">
        <f t="shared" si="216"/>
        <v>0</v>
      </c>
      <c r="I150" s="122">
        <f t="shared" si="216"/>
        <v>4.8737784126984121</v>
      </c>
      <c r="J150" s="122">
        <f t="shared" si="216"/>
        <v>2.8097049735449735</v>
      </c>
      <c r="K150" s="122">
        <f t="shared" si="216"/>
        <v>4.259373650793651</v>
      </c>
      <c r="L150" s="122">
        <f t="shared" si="216"/>
        <v>3.9057153015873016</v>
      </c>
      <c r="M150" s="122">
        <f t="shared" si="216"/>
        <v>1.6236298412698413</v>
      </c>
      <c r="N150" s="122">
        <f t="shared" si="216"/>
        <v>1.5626113912231558</v>
      </c>
      <c r="O150" s="122">
        <f t="shared" si="216"/>
        <v>1.7200131922398587</v>
      </c>
      <c r="P150" s="122">
        <f t="shared" ref="P150:Y150" si="217">IF(P$92&gt;0,P149/P$92,0)</f>
        <v>1.3648059611992944</v>
      </c>
      <c r="Q150" s="122">
        <f t="shared" si="217"/>
        <v>1.096480984126984</v>
      </c>
      <c r="R150" s="123">
        <f t="shared" si="217"/>
        <v>1.7413751480355733</v>
      </c>
      <c r="S150" s="122">
        <f t="shared" ca="1" si="217"/>
        <v>1.6131678504170028</v>
      </c>
      <c r="T150" s="122">
        <f t="shared" ca="1" si="217"/>
        <v>1.551917210434878</v>
      </c>
      <c r="U150" s="122">
        <f t="shared" ca="1" si="217"/>
        <v>1.5584826833196006</v>
      </c>
      <c r="V150" s="122">
        <f t="shared" ca="1" si="217"/>
        <v>1.4245912099525198</v>
      </c>
      <c r="W150" s="122">
        <f t="shared" ca="1" si="217"/>
        <v>1.1862429181438168</v>
      </c>
      <c r="X150" s="122">
        <f t="shared" ca="1" si="217"/>
        <v>1.1091394623509487</v>
      </c>
      <c r="Y150" s="122">
        <f t="shared" ca="1" si="217"/>
        <v>1.0937971203064061</v>
      </c>
      <c r="Z150" s="122">
        <f t="shared" ref="Z150:AE150" ca="1" si="218">IF(Z$92&gt;0,Z149/Z$92,0)</f>
        <v>0.97274800882619183</v>
      </c>
      <c r="AA150" s="122">
        <f t="shared" ca="1" si="218"/>
        <v>0.92582090099719561</v>
      </c>
      <c r="AB150" s="122">
        <f t="shared" ca="1" si="218"/>
        <v>0.84952880144832532</v>
      </c>
      <c r="AC150" s="122">
        <f t="shared" ca="1" si="218"/>
        <v>0.86582526220158684</v>
      </c>
      <c r="AD150" s="122">
        <f t="shared" ca="1" si="218"/>
        <v>0.73726408224544093</v>
      </c>
      <c r="AE150" s="123">
        <f t="shared" ca="1" si="218"/>
        <v>1.0070343044875265</v>
      </c>
      <c r="AF150" s="123">
        <f>IF(AF$92&gt;0,AF149/AF$92,0)</f>
        <v>0.82607538041856265</v>
      </c>
      <c r="AG150" s="123">
        <f>IF(AG$92&gt;0,AG149/AG$92,0)</f>
        <v>0.7820276112313379</v>
      </c>
      <c r="AH150" s="123">
        <f>IF(AH$92&gt;0,AH149/AH$92,0)</f>
        <v>0.80035210382326538</v>
      </c>
      <c r="AI150" s="304" t="s">
        <v>321</v>
      </c>
    </row>
    <row r="151" spans="1:35">
      <c r="A151" s="120"/>
      <c r="B151" s="121"/>
      <c r="C151" s="98"/>
      <c r="D151" s="98"/>
      <c r="E151" s="98"/>
      <c r="F151" s="122"/>
      <c r="G151" s="122"/>
      <c r="H151" s="122"/>
      <c r="I151" s="122"/>
      <c r="J151" s="122"/>
      <c r="K151" s="122"/>
      <c r="L151" s="122"/>
      <c r="M151" s="122"/>
      <c r="N151" s="122"/>
      <c r="O151" s="122"/>
      <c r="P151" s="122"/>
      <c r="Q151" s="122"/>
      <c r="R151" s="123"/>
      <c r="S151" s="122"/>
      <c r="T151" s="122"/>
      <c r="U151" s="122"/>
      <c r="V151" s="122"/>
      <c r="W151" s="122"/>
      <c r="X151" s="122"/>
      <c r="Y151" s="122"/>
      <c r="Z151" s="122"/>
      <c r="AA151" s="122"/>
      <c r="AB151" s="122"/>
      <c r="AC151" s="122"/>
      <c r="AD151" s="122"/>
      <c r="AE151" s="123"/>
      <c r="AF151" s="123"/>
      <c r="AG151" s="123"/>
      <c r="AH151" s="123"/>
      <c r="AI151" s="304" t="s">
        <v>321</v>
      </c>
    </row>
    <row r="152" spans="1:35">
      <c r="A152" s="83" t="s">
        <v>206</v>
      </c>
      <c r="B152" s="102"/>
      <c r="C152" s="85"/>
      <c r="D152" s="85"/>
      <c r="E152" s="85"/>
      <c r="F152" s="103">
        <f>F92-F149</f>
        <v>-7509.166666666667</v>
      </c>
      <c r="G152" s="103">
        <f t="shared" ref="G152:V152" si="219">G92-G149</f>
        <v>-7509.166666666667</v>
      </c>
      <c r="H152" s="103">
        <f t="shared" si="219"/>
        <v>-22509.166666666664</v>
      </c>
      <c r="I152" s="103">
        <f t="shared" si="219"/>
        <v>-20337.336666666662</v>
      </c>
      <c r="J152" s="103">
        <f t="shared" si="219"/>
        <v>-14251.426666666666</v>
      </c>
      <c r="K152" s="103">
        <f>K92-K149</f>
        <v>-34223.42333333334</v>
      </c>
      <c r="L152" s="103">
        <f t="shared" si="219"/>
        <v>-38137.513333333336</v>
      </c>
      <c r="M152" s="103">
        <f t="shared" si="219"/>
        <v>-26192.453333333338</v>
      </c>
      <c r="N152" s="103">
        <f t="shared" si="219"/>
        <v>-25106.533333333326</v>
      </c>
      <c r="O152" s="103">
        <f t="shared" si="219"/>
        <v>-34020.623333333322</v>
      </c>
      <c r="P152" s="103">
        <f t="shared" si="219"/>
        <v>-34474.16333333333</v>
      </c>
      <c r="Q152" s="103">
        <f t="shared" si="219"/>
        <v>-10130.503333333327</v>
      </c>
      <c r="R152" s="104">
        <f>SUM(F152:Q152)</f>
        <v>-274401.47666666668</v>
      </c>
      <c r="S152" s="103">
        <f t="shared" ca="1" si="219"/>
        <v>-75971.496666666644</v>
      </c>
      <c r="T152" s="103">
        <f t="shared" ca="1" si="219"/>
        <v>-80691.400000000023</v>
      </c>
      <c r="U152" s="103">
        <f ca="1">U92-U149</f>
        <v>-96348.399333333335</v>
      </c>
      <c r="V152" s="103">
        <f t="shared" ca="1" si="219"/>
        <v>-86434.839333333337</v>
      </c>
      <c r="W152" s="103">
        <f t="shared" ref="W152:AH152" ca="1" si="220">W92-W149</f>
        <v>-44738.305333333294</v>
      </c>
      <c r="X152" s="103">
        <f t="shared" ca="1" si="220"/>
        <v>-30935.995333333325</v>
      </c>
      <c r="Y152" s="103">
        <f t="shared" ca="1" si="220"/>
        <v>-31372.829333333299</v>
      </c>
      <c r="Z152" s="103">
        <f t="shared" ca="1" si="220"/>
        <v>10755.852666666673</v>
      </c>
      <c r="AA152" s="103">
        <f t="shared" ca="1" si="220"/>
        <v>34547.012666666706</v>
      </c>
      <c r="AB152" s="103">
        <f t="shared" ca="1" si="220"/>
        <v>82692.08666666667</v>
      </c>
      <c r="AC152" s="103">
        <f t="shared" ca="1" si="220"/>
        <v>87008.788666666835</v>
      </c>
      <c r="AD152" s="103">
        <f t="shared" ca="1" si="220"/>
        <v>201045.27466666675</v>
      </c>
      <c r="AE152" s="104">
        <f ca="1">SUM(S152:AD152)</f>
        <v>-30444.249999999593</v>
      </c>
      <c r="AF152" s="104">
        <f t="shared" si="220"/>
        <v>1841437.2583333328</v>
      </c>
      <c r="AG152" s="104">
        <f t="shared" si="220"/>
        <v>3346650.0676666666</v>
      </c>
      <c r="AH152" s="104">
        <f t="shared" si="220"/>
        <v>4070816.280666668</v>
      </c>
      <c r="AI152" s="304" t="s">
        <v>321</v>
      </c>
    </row>
    <row r="153" spans="1:35">
      <c r="A153" s="120"/>
      <c r="B153" s="121" t="s">
        <v>197</v>
      </c>
      <c r="C153" s="98"/>
      <c r="D153" s="98"/>
      <c r="E153" s="98"/>
      <c r="F153" s="122">
        <f t="shared" ref="F153:O153" si="221">IF(F$92&gt;0,F152/F$92,0)</f>
        <v>0</v>
      </c>
      <c r="G153" s="122">
        <f t="shared" si="221"/>
        <v>0</v>
      </c>
      <c r="H153" s="122">
        <f t="shared" si="221"/>
        <v>0</v>
      </c>
      <c r="I153" s="122">
        <f t="shared" si="221"/>
        <v>-3.8737784126984121</v>
      </c>
      <c r="J153" s="122">
        <f t="shared" si="221"/>
        <v>-1.8097049735449735</v>
      </c>
      <c r="K153" s="122">
        <f t="shared" si="221"/>
        <v>-3.2593736507936515</v>
      </c>
      <c r="L153" s="122">
        <f t="shared" si="221"/>
        <v>-2.9057153015873016</v>
      </c>
      <c r="M153" s="122">
        <f t="shared" si="221"/>
        <v>-0.62362984126984145</v>
      </c>
      <c r="N153" s="122">
        <f t="shared" si="221"/>
        <v>-0.56261139122315573</v>
      </c>
      <c r="O153" s="122">
        <f t="shared" si="221"/>
        <v>-0.72001319223985871</v>
      </c>
      <c r="P153" s="122">
        <f t="shared" ref="P153:Y153" si="222">IF(P$92&gt;0,P152/P$92,0)</f>
        <v>-0.36480596119929448</v>
      </c>
      <c r="Q153" s="122">
        <f t="shared" si="222"/>
        <v>-9.6480984126984068E-2</v>
      </c>
      <c r="R153" s="123">
        <f t="shared" si="222"/>
        <v>-0.74137514803557358</v>
      </c>
      <c r="S153" s="122">
        <f t="shared" ca="1" si="222"/>
        <v>-0.61316785041700272</v>
      </c>
      <c r="T153" s="122">
        <f t="shared" ca="1" si="222"/>
        <v>-0.55191721043487796</v>
      </c>
      <c r="U153" s="122">
        <f t="shared" ca="1" si="222"/>
        <v>-0.55848268331960049</v>
      </c>
      <c r="V153" s="122">
        <f t="shared" ca="1" si="222"/>
        <v>-0.4245912099525197</v>
      </c>
      <c r="W153" s="122">
        <f t="shared" ca="1" si="222"/>
        <v>-0.18624291814381666</v>
      </c>
      <c r="X153" s="122">
        <f t="shared" ca="1" si="222"/>
        <v>-0.10913946235094864</v>
      </c>
      <c r="Y153" s="122">
        <f t="shared" ca="1" si="222"/>
        <v>-9.3797120306406079E-2</v>
      </c>
      <c r="Z153" s="122">
        <f t="shared" ref="Z153:AE153" ca="1" si="223">IF(Z$92&gt;0,Z152/Z$92,0)</f>
        <v>2.7251991173808117E-2</v>
      </c>
      <c r="AA153" s="122">
        <f t="shared" ca="1" si="223"/>
        <v>7.4179099002804352E-2</v>
      </c>
      <c r="AB153" s="122">
        <f t="shared" ca="1" si="223"/>
        <v>0.15047119855167468</v>
      </c>
      <c r="AC153" s="122">
        <f t="shared" ca="1" si="223"/>
        <v>0.13417473779841316</v>
      </c>
      <c r="AD153" s="122">
        <f t="shared" ca="1" si="223"/>
        <v>0.26273591775455907</v>
      </c>
      <c r="AE153" s="123">
        <f t="shared" ca="1" si="223"/>
        <v>-7.0343044875265295E-3</v>
      </c>
      <c r="AF153" s="123">
        <f>IF(AF$92&gt;0,AF152/AF$92,0)</f>
        <v>0.17392461958143732</v>
      </c>
      <c r="AG153" s="123">
        <f>IF(AG$92&gt;0,AG152/AG$92,0)</f>
        <v>0.21797238876866207</v>
      </c>
      <c r="AH153" s="123">
        <f>IF(AH$92&gt;0,AH152/AH$92,0)</f>
        <v>0.19964789617673467</v>
      </c>
      <c r="AI153" s="304" t="s">
        <v>321</v>
      </c>
    </row>
    <row r="154" spans="1:35">
      <c r="A154" s="96"/>
      <c r="B154" s="97"/>
      <c r="C154" s="98"/>
      <c r="D154" s="98"/>
      <c r="E154" s="98"/>
      <c r="F154" s="99"/>
      <c r="G154" s="99"/>
      <c r="H154" s="99"/>
      <c r="I154" s="99"/>
      <c r="J154" s="99"/>
      <c r="K154" s="99"/>
      <c r="L154" s="99"/>
      <c r="M154" s="99"/>
      <c r="N154" s="99"/>
      <c r="O154" s="99"/>
      <c r="P154" s="99"/>
      <c r="Q154" s="99"/>
      <c r="R154" s="100"/>
      <c r="S154" s="99"/>
      <c r="T154" s="99"/>
      <c r="U154" s="99"/>
      <c r="V154" s="99"/>
      <c r="W154" s="99"/>
      <c r="X154" s="99"/>
      <c r="Y154" s="99"/>
      <c r="Z154" s="99"/>
      <c r="AA154" s="99"/>
      <c r="AB154" s="99"/>
      <c r="AC154" s="99"/>
      <c r="AD154" s="99"/>
      <c r="AE154" s="100"/>
      <c r="AF154" s="100"/>
      <c r="AG154" s="100"/>
      <c r="AH154" s="100"/>
      <c r="AI154" s="304" t="s">
        <v>321</v>
      </c>
    </row>
    <row r="155" spans="1:35">
      <c r="A155" s="96" t="s">
        <v>207</v>
      </c>
      <c r="B155" s="97"/>
      <c r="C155" s="98"/>
      <c r="D155" s="98"/>
      <c r="E155" s="98"/>
      <c r="F155" s="99"/>
      <c r="G155" s="99"/>
      <c r="H155" s="99"/>
      <c r="I155" s="99"/>
      <c r="J155" s="99"/>
      <c r="K155" s="99"/>
      <c r="L155" s="99"/>
      <c r="M155" s="99"/>
      <c r="N155" s="99"/>
      <c r="O155" s="99"/>
      <c r="P155" s="99"/>
      <c r="Q155" s="99"/>
      <c r="R155" s="100"/>
      <c r="S155" s="99"/>
      <c r="T155" s="99"/>
      <c r="U155" s="99"/>
      <c r="V155" s="99"/>
      <c r="W155" s="99"/>
      <c r="X155" s="99"/>
      <c r="Y155" s="99"/>
      <c r="Z155" s="99"/>
      <c r="AA155" s="99"/>
      <c r="AB155" s="99"/>
      <c r="AC155" s="99"/>
      <c r="AD155" s="99"/>
      <c r="AE155" s="100"/>
      <c r="AF155" s="100"/>
      <c r="AG155" s="100"/>
      <c r="AH155" s="100"/>
      <c r="AI155" s="304" t="s">
        <v>321</v>
      </c>
    </row>
    <row r="156" spans="1:35">
      <c r="A156" s="96"/>
      <c r="B156" s="97" t="str">
        <f>"Interest Revenue ("&amp;$C156*100&amp;"% of cash)"</f>
        <v>Interest Revenue (0,2% of cash)</v>
      </c>
      <c r="C156" s="134">
        <f>Assumptions!I86</f>
        <v>2E-3</v>
      </c>
      <c r="D156" s="98"/>
      <c r="E156" s="98"/>
      <c r="F156" s="115">
        <v>0</v>
      </c>
      <c r="G156" s="115">
        <v>0</v>
      </c>
      <c r="H156" s="115">
        <v>0</v>
      </c>
      <c r="I156" s="115">
        <v>0</v>
      </c>
      <c r="J156" s="115">
        <v>0</v>
      </c>
      <c r="K156" s="115">
        <v>0</v>
      </c>
      <c r="L156" s="115">
        <v>0</v>
      </c>
      <c r="M156" s="115">
        <v>0</v>
      </c>
      <c r="N156" s="115">
        <v>0</v>
      </c>
      <c r="O156" s="115">
        <v>0</v>
      </c>
      <c r="P156" s="115">
        <v>0</v>
      </c>
      <c r="Q156" s="115">
        <v>0</v>
      </c>
      <c r="R156" s="100">
        <f t="shared" ref="R156:R161" si="224">SUM(F156:Q156)</f>
        <v>0</v>
      </c>
      <c r="S156" s="115">
        <v>0</v>
      </c>
      <c r="T156" s="115">
        <v>0</v>
      </c>
      <c r="U156" s="115">
        <v>0</v>
      </c>
      <c r="V156" s="115">
        <v>0</v>
      </c>
      <c r="W156" s="115">
        <v>0</v>
      </c>
      <c r="X156" s="115">
        <v>0</v>
      </c>
      <c r="Y156" s="115">
        <v>0</v>
      </c>
      <c r="Z156" s="115">
        <v>0</v>
      </c>
      <c r="AA156" s="115">
        <v>0</v>
      </c>
      <c r="AB156" s="115">
        <v>0</v>
      </c>
      <c r="AC156" s="115">
        <v>0</v>
      </c>
      <c r="AD156" s="115">
        <v>0</v>
      </c>
      <c r="AE156" s="100">
        <f t="shared" ref="AE156:AE161" si="225">SUM(S156:AD156)</f>
        <v>0</v>
      </c>
      <c r="AF156" s="117">
        <v>0</v>
      </c>
      <c r="AG156" s="117">
        <v>0</v>
      </c>
      <c r="AH156" s="117">
        <v>0</v>
      </c>
      <c r="AI156" s="304" t="s">
        <v>321</v>
      </c>
    </row>
    <row r="157" spans="1:35">
      <c r="A157" s="96"/>
      <c r="B157" s="135" t="s">
        <v>298</v>
      </c>
      <c r="C157" s="136" t="s">
        <v>299</v>
      </c>
      <c r="D157" s="98"/>
      <c r="E157" s="98"/>
      <c r="F157" s="137">
        <f>Grants!C7</f>
        <v>0</v>
      </c>
      <c r="G157" s="137">
        <f>Grants!D7</f>
        <v>0</v>
      </c>
      <c r="H157" s="137">
        <f>Grants!E7</f>
        <v>0</v>
      </c>
      <c r="I157" s="137">
        <f>Grants!F7</f>
        <v>0</v>
      </c>
      <c r="J157" s="137">
        <f>Grants!G7</f>
        <v>0</v>
      </c>
      <c r="K157" s="137">
        <f>Grants!H7</f>
        <v>0</v>
      </c>
      <c r="L157" s="137">
        <f>Grants!I7</f>
        <v>0</v>
      </c>
      <c r="M157" s="137">
        <f>Grants!J7</f>
        <v>0</v>
      </c>
      <c r="N157" s="137">
        <f>Grants!K7</f>
        <v>0</v>
      </c>
      <c r="O157" s="137">
        <f>Grants!L7</f>
        <v>0</v>
      </c>
      <c r="P157" s="137">
        <f>Grants!M7</f>
        <v>0</v>
      </c>
      <c r="Q157" s="137">
        <f>Grants!N7</f>
        <v>0</v>
      </c>
      <c r="R157" s="116">
        <f>SUM(F157:Q157)</f>
        <v>0</v>
      </c>
      <c r="S157" s="137">
        <f>Grants!P7</f>
        <v>0</v>
      </c>
      <c r="T157" s="137">
        <f>Grants!Q7</f>
        <v>0</v>
      </c>
      <c r="U157" s="137">
        <f>Grants!R7</f>
        <v>0</v>
      </c>
      <c r="V157" s="137">
        <v>0</v>
      </c>
      <c r="W157" s="137">
        <f>Grants!T7</f>
        <v>0</v>
      </c>
      <c r="X157" s="137">
        <f>Grants!U7</f>
        <v>0</v>
      </c>
      <c r="Y157" s="137">
        <f>Grants!V7</f>
        <v>0</v>
      </c>
      <c r="Z157" s="137">
        <f>Grants!W7</f>
        <v>0</v>
      </c>
      <c r="AA157" s="137">
        <f>Grants!X7</f>
        <v>0</v>
      </c>
      <c r="AB157" s="137">
        <f>Grants!Y7</f>
        <v>0</v>
      </c>
      <c r="AC157" s="137">
        <f>Grants!Z7</f>
        <v>0</v>
      </c>
      <c r="AD157" s="137">
        <f>Grants!AA7</f>
        <v>0</v>
      </c>
      <c r="AE157" s="68">
        <f t="shared" si="225"/>
        <v>0</v>
      </c>
      <c r="AF157" s="116">
        <f>Grants!AC7</f>
        <v>0</v>
      </c>
      <c r="AG157" s="116">
        <f>Grants!AD7</f>
        <v>0</v>
      </c>
      <c r="AH157" s="116">
        <f>Grants!AE7</f>
        <v>0</v>
      </c>
      <c r="AI157" s="304" t="s">
        <v>321</v>
      </c>
    </row>
    <row r="158" spans="1:35">
      <c r="A158" s="96"/>
      <c r="B158" s="97" t="str">
        <f>"Interest Expense ("&amp;$C158*100&amp;"% of Credit Line)"</f>
        <v>Interest Expense (7% of Credit Line)</v>
      </c>
      <c r="C158" s="134">
        <f>Assumptions!I87</f>
        <v>7.0000000000000007E-2</v>
      </c>
      <c r="D158" s="98"/>
      <c r="E158" s="98"/>
      <c r="F158" s="99">
        <f t="shared" ref="F158:Q158" ca="1" si="226">$C158*F205/12</f>
        <v>0</v>
      </c>
      <c r="G158" s="99">
        <f t="shared" ca="1" si="226"/>
        <v>0</v>
      </c>
      <c r="H158" s="99">
        <f t="shared" ca="1" si="226"/>
        <v>0</v>
      </c>
      <c r="I158" s="99">
        <f t="shared" ca="1" si="226"/>
        <v>0</v>
      </c>
      <c r="J158" s="99">
        <f t="shared" ca="1" si="226"/>
        <v>0</v>
      </c>
      <c r="K158" s="99">
        <f t="shared" ca="1" si="226"/>
        <v>0</v>
      </c>
      <c r="L158" s="99">
        <f t="shared" ca="1" si="226"/>
        <v>0</v>
      </c>
      <c r="M158" s="99">
        <f t="shared" ca="1" si="226"/>
        <v>0</v>
      </c>
      <c r="N158" s="99">
        <f t="shared" ca="1" si="226"/>
        <v>0</v>
      </c>
      <c r="O158" s="99">
        <f t="shared" ca="1" si="226"/>
        <v>0</v>
      </c>
      <c r="P158" s="99">
        <f t="shared" ca="1" si="226"/>
        <v>0</v>
      </c>
      <c r="Q158" s="99">
        <f t="shared" ca="1" si="226"/>
        <v>0</v>
      </c>
      <c r="R158" s="100">
        <f t="shared" ca="1" si="224"/>
        <v>0</v>
      </c>
      <c r="S158" s="99">
        <f t="shared" ref="S158:AD158" ca="1" si="227">$C158*S205/12</f>
        <v>0</v>
      </c>
      <c r="T158" s="99">
        <f t="shared" ca="1" si="227"/>
        <v>0</v>
      </c>
      <c r="U158" s="99">
        <f t="shared" ca="1" si="227"/>
        <v>0</v>
      </c>
      <c r="V158" s="99">
        <f t="shared" ca="1" si="227"/>
        <v>0</v>
      </c>
      <c r="W158" s="99">
        <f t="shared" ca="1" si="227"/>
        <v>0</v>
      </c>
      <c r="X158" s="99">
        <f t="shared" ca="1" si="227"/>
        <v>0</v>
      </c>
      <c r="Y158" s="99">
        <f t="shared" ca="1" si="227"/>
        <v>0</v>
      </c>
      <c r="Z158" s="99">
        <f t="shared" ca="1" si="227"/>
        <v>0</v>
      </c>
      <c r="AA158" s="99">
        <f t="shared" ca="1" si="227"/>
        <v>0</v>
      </c>
      <c r="AB158" s="99">
        <f t="shared" ca="1" si="227"/>
        <v>0</v>
      </c>
      <c r="AC158" s="99">
        <f t="shared" ca="1" si="227"/>
        <v>0</v>
      </c>
      <c r="AD158" s="99">
        <f t="shared" ca="1" si="227"/>
        <v>0</v>
      </c>
      <c r="AE158" s="100">
        <f t="shared" ca="1" si="225"/>
        <v>0</v>
      </c>
      <c r="AF158" s="100">
        <f>$C158*AF205</f>
        <v>0</v>
      </c>
      <c r="AG158" s="100">
        <f>$C158*AG205</f>
        <v>0</v>
      </c>
      <c r="AH158" s="100">
        <f>$C158*AH205</f>
        <v>0</v>
      </c>
      <c r="AI158" s="304" t="s">
        <v>321</v>
      </c>
    </row>
    <row r="159" spans="1:35">
      <c r="A159" s="96"/>
      <c r="B159" s="97" t="str">
        <f>"Interest Expense - ("&amp;$C159*100&amp;"% of Cap. Equip. Lease)"</f>
        <v>Interest Expense - (6% of Cap. Equip. Lease)</v>
      </c>
      <c r="C159" s="134">
        <f>Assumptions!I88</f>
        <v>0.06</v>
      </c>
      <c r="D159" s="98"/>
      <c r="E159" s="98"/>
      <c r="F159" s="99">
        <f t="shared" ref="F159:Q160" si="228">$C159*F211/12</f>
        <v>0</v>
      </c>
      <c r="G159" s="99">
        <f t="shared" si="228"/>
        <v>0</v>
      </c>
      <c r="H159" s="99">
        <f t="shared" si="228"/>
        <v>0</v>
      </c>
      <c r="I159" s="99">
        <f t="shared" si="228"/>
        <v>0</v>
      </c>
      <c r="J159" s="99">
        <f t="shared" si="228"/>
        <v>0</v>
      </c>
      <c r="K159" s="99">
        <f t="shared" si="228"/>
        <v>0</v>
      </c>
      <c r="L159" s="99">
        <f t="shared" si="228"/>
        <v>0</v>
      </c>
      <c r="M159" s="99">
        <f t="shared" si="228"/>
        <v>0</v>
      </c>
      <c r="N159" s="99">
        <f t="shared" si="228"/>
        <v>0</v>
      </c>
      <c r="O159" s="99">
        <f t="shared" si="228"/>
        <v>0</v>
      </c>
      <c r="P159" s="99">
        <f t="shared" si="228"/>
        <v>0</v>
      </c>
      <c r="Q159" s="99">
        <f t="shared" si="228"/>
        <v>0</v>
      </c>
      <c r="R159" s="100">
        <f t="shared" si="224"/>
        <v>0</v>
      </c>
      <c r="S159" s="99">
        <f t="shared" ref="S159:AD160" ca="1" si="229">$C159*S211/12</f>
        <v>0</v>
      </c>
      <c r="T159" s="99">
        <f t="shared" ca="1" si="229"/>
        <v>0</v>
      </c>
      <c r="U159" s="99">
        <f t="shared" ca="1" si="229"/>
        <v>0</v>
      </c>
      <c r="V159" s="99">
        <f t="shared" ca="1" si="229"/>
        <v>0</v>
      </c>
      <c r="W159" s="99">
        <f t="shared" ca="1" si="229"/>
        <v>0</v>
      </c>
      <c r="X159" s="99">
        <f t="shared" ca="1" si="229"/>
        <v>0</v>
      </c>
      <c r="Y159" s="99">
        <f t="shared" ca="1" si="229"/>
        <v>0</v>
      </c>
      <c r="Z159" s="99">
        <f t="shared" ca="1" si="229"/>
        <v>0</v>
      </c>
      <c r="AA159" s="99">
        <f t="shared" ca="1" si="229"/>
        <v>0</v>
      </c>
      <c r="AB159" s="99">
        <f t="shared" ca="1" si="229"/>
        <v>0</v>
      </c>
      <c r="AC159" s="99">
        <f t="shared" ca="1" si="229"/>
        <v>0</v>
      </c>
      <c r="AD159" s="99">
        <f t="shared" ca="1" si="229"/>
        <v>0</v>
      </c>
      <c r="AE159" s="100">
        <f t="shared" ca="1" si="225"/>
        <v>0</v>
      </c>
      <c r="AF159" s="100">
        <f ca="1">$C159*AF211/12</f>
        <v>0</v>
      </c>
      <c r="AG159" s="100">
        <f ca="1">$C159*AG211/12</f>
        <v>0</v>
      </c>
      <c r="AH159" s="100">
        <f ca="1">$C159*AH211/12</f>
        <v>0</v>
      </c>
      <c r="AI159" s="304" t="s">
        <v>321</v>
      </c>
    </row>
    <row r="160" spans="1:35">
      <c r="A160" s="96"/>
      <c r="B160" s="97" t="str">
        <f>"Interest Expense - ("&amp;$C160*100&amp;"% of Long Term Debt)"</f>
        <v>Interest Expense - (10% of Long Term Debt)</v>
      </c>
      <c r="C160" s="134">
        <f>Assumptions!I89</f>
        <v>0.1</v>
      </c>
      <c r="D160" s="98"/>
      <c r="E160" s="98"/>
      <c r="F160" s="99">
        <f t="shared" si="228"/>
        <v>0</v>
      </c>
      <c r="G160" s="99">
        <f t="shared" si="228"/>
        <v>0</v>
      </c>
      <c r="H160" s="99">
        <f t="shared" si="228"/>
        <v>0</v>
      </c>
      <c r="I160" s="99">
        <f t="shared" si="228"/>
        <v>0</v>
      </c>
      <c r="J160" s="99">
        <f t="shared" si="228"/>
        <v>0</v>
      </c>
      <c r="K160" s="99">
        <f t="shared" si="228"/>
        <v>0</v>
      </c>
      <c r="L160" s="99">
        <f t="shared" si="228"/>
        <v>0</v>
      </c>
      <c r="M160" s="99">
        <f t="shared" si="228"/>
        <v>0</v>
      </c>
      <c r="N160" s="99">
        <f t="shared" si="228"/>
        <v>0</v>
      </c>
      <c r="O160" s="99">
        <f t="shared" si="228"/>
        <v>0</v>
      </c>
      <c r="P160" s="99">
        <f t="shared" si="228"/>
        <v>0</v>
      </c>
      <c r="Q160" s="99">
        <f t="shared" si="228"/>
        <v>0</v>
      </c>
      <c r="R160" s="100">
        <f t="shared" si="224"/>
        <v>0</v>
      </c>
      <c r="S160" s="99">
        <f t="shared" ca="1" si="229"/>
        <v>0</v>
      </c>
      <c r="T160" s="99">
        <f t="shared" ca="1" si="229"/>
        <v>0</v>
      </c>
      <c r="U160" s="99">
        <f t="shared" ca="1" si="229"/>
        <v>0</v>
      </c>
      <c r="V160" s="99">
        <f t="shared" ca="1" si="229"/>
        <v>0</v>
      </c>
      <c r="W160" s="99">
        <f t="shared" ca="1" si="229"/>
        <v>0</v>
      </c>
      <c r="X160" s="99">
        <f t="shared" ca="1" si="229"/>
        <v>0</v>
      </c>
      <c r="Y160" s="99">
        <f t="shared" ca="1" si="229"/>
        <v>0</v>
      </c>
      <c r="Z160" s="99">
        <f t="shared" ca="1" si="229"/>
        <v>0</v>
      </c>
      <c r="AA160" s="99">
        <f t="shared" ca="1" si="229"/>
        <v>0</v>
      </c>
      <c r="AB160" s="99">
        <f t="shared" ca="1" si="229"/>
        <v>0</v>
      </c>
      <c r="AC160" s="99">
        <f t="shared" ca="1" si="229"/>
        <v>0</v>
      </c>
      <c r="AD160" s="99">
        <f t="shared" ca="1" si="229"/>
        <v>0</v>
      </c>
      <c r="AE160" s="100">
        <f t="shared" ca="1" si="225"/>
        <v>0</v>
      </c>
      <c r="AF160" s="100">
        <f ca="1">$C160*AF212</f>
        <v>0</v>
      </c>
      <c r="AG160" s="100">
        <f ca="1">$C160*AG212</f>
        <v>0</v>
      </c>
      <c r="AH160" s="100">
        <f ca="1">$C160*AH212</f>
        <v>0</v>
      </c>
      <c r="AI160" s="304" t="s">
        <v>321</v>
      </c>
    </row>
    <row r="161" spans="1:35">
      <c r="A161" s="83" t="s">
        <v>208</v>
      </c>
      <c r="B161" s="102"/>
      <c r="C161" s="85"/>
      <c r="D161" s="85"/>
      <c r="E161" s="85"/>
      <c r="F161" s="103">
        <f t="shared" ref="F161:K161" ca="1" si="230">F156+F157-SUM(F158:F160)</f>
        <v>0</v>
      </c>
      <c r="G161" s="103">
        <f t="shared" ca="1" si="230"/>
        <v>0</v>
      </c>
      <c r="H161" s="103">
        <f t="shared" ca="1" si="230"/>
        <v>0</v>
      </c>
      <c r="I161" s="103">
        <f t="shared" ca="1" si="230"/>
        <v>0</v>
      </c>
      <c r="J161" s="103">
        <f t="shared" ca="1" si="230"/>
        <v>0</v>
      </c>
      <c r="K161" s="103">
        <f t="shared" ca="1" si="230"/>
        <v>0</v>
      </c>
      <c r="L161" s="103">
        <f t="shared" ref="L161:S161" ca="1" si="231">L156+L157-SUM(L158:L160)</f>
        <v>0</v>
      </c>
      <c r="M161" s="103">
        <f t="shared" ca="1" si="231"/>
        <v>0</v>
      </c>
      <c r="N161" s="103">
        <f t="shared" ca="1" si="231"/>
        <v>0</v>
      </c>
      <c r="O161" s="103">
        <f t="shared" ca="1" si="231"/>
        <v>0</v>
      </c>
      <c r="P161" s="103">
        <f t="shared" ca="1" si="231"/>
        <v>0</v>
      </c>
      <c r="Q161" s="103">
        <f t="shared" ca="1" si="231"/>
        <v>0</v>
      </c>
      <c r="R161" s="104">
        <f t="shared" ca="1" si="224"/>
        <v>0</v>
      </c>
      <c r="S161" s="103">
        <f t="shared" ca="1" si="231"/>
        <v>0</v>
      </c>
      <c r="T161" s="103">
        <f t="shared" ref="T161:AD161" ca="1" si="232">T156+T157-SUM(T158:T160)</f>
        <v>0</v>
      </c>
      <c r="U161" s="103">
        <f t="shared" ca="1" si="232"/>
        <v>0</v>
      </c>
      <c r="V161" s="103">
        <f t="shared" ca="1" si="232"/>
        <v>0</v>
      </c>
      <c r="W161" s="103">
        <f t="shared" ca="1" si="232"/>
        <v>0</v>
      </c>
      <c r="X161" s="103">
        <f t="shared" ca="1" si="232"/>
        <v>0</v>
      </c>
      <c r="Y161" s="103">
        <f t="shared" ca="1" si="232"/>
        <v>0</v>
      </c>
      <c r="Z161" s="103">
        <f t="shared" ca="1" si="232"/>
        <v>0</v>
      </c>
      <c r="AA161" s="103">
        <f t="shared" ca="1" si="232"/>
        <v>0</v>
      </c>
      <c r="AB161" s="103">
        <f t="shared" ca="1" si="232"/>
        <v>0</v>
      </c>
      <c r="AC161" s="103">
        <f t="shared" ca="1" si="232"/>
        <v>0</v>
      </c>
      <c r="AD161" s="103">
        <f t="shared" ca="1" si="232"/>
        <v>0</v>
      </c>
      <c r="AE161" s="104">
        <f t="shared" ca="1" si="225"/>
        <v>0</v>
      </c>
      <c r="AF161" s="104">
        <f ca="1">AF156-SUM(AF158:AF160)</f>
        <v>0</v>
      </c>
      <c r="AG161" s="104">
        <f ca="1">AG156-SUM(AG158:AG160)</f>
        <v>0</v>
      </c>
      <c r="AH161" s="104">
        <f ca="1">AH156-SUM(AH158:AH160)</f>
        <v>0</v>
      </c>
      <c r="AI161" s="304" t="s">
        <v>321</v>
      </c>
    </row>
    <row r="162" spans="1:35">
      <c r="A162" s="96"/>
      <c r="B162" s="97"/>
      <c r="C162" s="98"/>
      <c r="D162" s="98"/>
      <c r="E162" s="98"/>
      <c r="F162" s="99"/>
      <c r="G162" s="99"/>
      <c r="H162" s="99"/>
      <c r="I162" s="99"/>
      <c r="J162" s="99"/>
      <c r="K162" s="99"/>
      <c r="L162" s="99"/>
      <c r="M162" s="99"/>
      <c r="N162" s="99"/>
      <c r="O162" s="99"/>
      <c r="P162" s="99"/>
      <c r="Q162" s="99"/>
      <c r="R162" s="100"/>
      <c r="S162" s="99"/>
      <c r="T162" s="99"/>
      <c r="U162" s="99"/>
      <c r="V162" s="99"/>
      <c r="W162" s="99"/>
      <c r="X162" s="99"/>
      <c r="Y162" s="99"/>
      <c r="Z162" s="99"/>
      <c r="AA162" s="99"/>
      <c r="AB162" s="99"/>
      <c r="AC162" s="99"/>
      <c r="AD162" s="99"/>
      <c r="AE162" s="100"/>
      <c r="AF162" s="100"/>
      <c r="AG162" s="100"/>
      <c r="AH162" s="100"/>
      <c r="AI162" s="304" t="s">
        <v>321</v>
      </c>
    </row>
    <row r="163" spans="1:35">
      <c r="A163" s="83" t="s">
        <v>209</v>
      </c>
      <c r="B163" s="102"/>
      <c r="C163" s="85"/>
      <c r="D163" s="85"/>
      <c r="E163" s="85"/>
      <c r="F163" s="103">
        <f ca="1">F152+F161</f>
        <v>-7509.166666666667</v>
      </c>
      <c r="G163" s="103">
        <f t="shared" ref="G163:Q163" ca="1" si="233">G152+G161</f>
        <v>-7509.166666666667</v>
      </c>
      <c r="H163" s="103">
        <f t="shared" ca="1" si="233"/>
        <v>-22509.166666666664</v>
      </c>
      <c r="I163" s="103">
        <f t="shared" ca="1" si="233"/>
        <v>-20337.336666666662</v>
      </c>
      <c r="J163" s="103">
        <f t="shared" ca="1" si="233"/>
        <v>-14251.426666666666</v>
      </c>
      <c r="K163" s="103">
        <f ca="1">K152+K161</f>
        <v>-34223.42333333334</v>
      </c>
      <c r="L163" s="103">
        <f t="shared" ca="1" si="233"/>
        <v>-38137.513333333336</v>
      </c>
      <c r="M163" s="103">
        <f t="shared" ca="1" si="233"/>
        <v>-26192.453333333338</v>
      </c>
      <c r="N163" s="103">
        <f t="shared" ca="1" si="233"/>
        <v>-25106.533333333326</v>
      </c>
      <c r="O163" s="103">
        <f t="shared" ca="1" si="233"/>
        <v>-34020.623333333322</v>
      </c>
      <c r="P163" s="103">
        <f t="shared" ca="1" si="233"/>
        <v>-34474.16333333333</v>
      </c>
      <c r="Q163" s="103">
        <f t="shared" ca="1" si="233"/>
        <v>-10130.503333333327</v>
      </c>
      <c r="R163" s="104">
        <f ca="1">SUM(F163:Q163)</f>
        <v>-274401.47666666668</v>
      </c>
      <c r="S163" s="103">
        <f ca="1">S152+S161</f>
        <v>-75971.496666666644</v>
      </c>
      <c r="T163" s="103">
        <f t="shared" ref="T163:AD163" ca="1" si="234">T152+T161</f>
        <v>-80691.400000000023</v>
      </c>
      <c r="U163" s="103">
        <f ca="1">U152+U161</f>
        <v>-96348.399333333335</v>
      </c>
      <c r="V163" s="103">
        <f ca="1">V152+V161</f>
        <v>-86434.839333333337</v>
      </c>
      <c r="W163" s="103">
        <f t="shared" ca="1" si="234"/>
        <v>-44738.305333333294</v>
      </c>
      <c r="X163" s="103">
        <f t="shared" ca="1" si="234"/>
        <v>-30935.995333333325</v>
      </c>
      <c r="Y163" s="103">
        <f t="shared" ca="1" si="234"/>
        <v>-31372.829333333299</v>
      </c>
      <c r="Z163" s="103">
        <f t="shared" ca="1" si="234"/>
        <v>10755.852666666673</v>
      </c>
      <c r="AA163" s="103">
        <f t="shared" ca="1" si="234"/>
        <v>34547.012666666706</v>
      </c>
      <c r="AB163" s="103">
        <f t="shared" ca="1" si="234"/>
        <v>82692.08666666667</v>
      </c>
      <c r="AC163" s="103">
        <f t="shared" ca="1" si="234"/>
        <v>87008.788666666835</v>
      </c>
      <c r="AD163" s="103">
        <f t="shared" ca="1" si="234"/>
        <v>201045.27466666675</v>
      </c>
      <c r="AE163" s="104">
        <f ca="1">SUM(S163:AD163)</f>
        <v>-30444.249999999593</v>
      </c>
      <c r="AF163" s="104">
        <f ca="1">AF152+AF161</f>
        <v>1841437.2583333328</v>
      </c>
      <c r="AG163" s="104">
        <f ca="1">AG152+AG161</f>
        <v>3346650.0676666666</v>
      </c>
      <c r="AH163" s="104">
        <f ca="1">AH152+AH161</f>
        <v>4070816.280666668</v>
      </c>
      <c r="AI163" s="304" t="s">
        <v>321</v>
      </c>
    </row>
    <row r="164" spans="1:35">
      <c r="A164" s="96"/>
      <c r="B164" s="97" t="s">
        <v>210</v>
      </c>
      <c r="C164" s="98"/>
      <c r="D164" s="98"/>
      <c r="E164" s="98"/>
      <c r="F164" s="99">
        <f t="shared" ref="F164:Q164" ca="1" si="235">F397</f>
        <v>0</v>
      </c>
      <c r="G164" s="99">
        <f t="shared" ca="1" si="235"/>
        <v>0</v>
      </c>
      <c r="H164" s="99">
        <f t="shared" ca="1" si="235"/>
        <v>0</v>
      </c>
      <c r="I164" s="99">
        <f t="shared" ca="1" si="235"/>
        <v>0</v>
      </c>
      <c r="J164" s="99">
        <f t="shared" ca="1" si="235"/>
        <v>0</v>
      </c>
      <c r="K164" s="99">
        <f t="shared" ca="1" si="235"/>
        <v>0</v>
      </c>
      <c r="L164" s="99">
        <f t="shared" ca="1" si="235"/>
        <v>0</v>
      </c>
      <c r="M164" s="99">
        <f t="shared" ca="1" si="235"/>
        <v>0</v>
      </c>
      <c r="N164" s="99">
        <f t="shared" ca="1" si="235"/>
        <v>0</v>
      </c>
      <c r="O164" s="99">
        <f t="shared" ca="1" si="235"/>
        <v>0</v>
      </c>
      <c r="P164" s="99">
        <f t="shared" ca="1" si="235"/>
        <v>0</v>
      </c>
      <c r="Q164" s="99">
        <f t="shared" ca="1" si="235"/>
        <v>0</v>
      </c>
      <c r="R164" s="100">
        <f ca="1">SUM(F164:Q164)</f>
        <v>0</v>
      </c>
      <c r="S164" s="99">
        <f ca="1">S397</f>
        <v>0</v>
      </c>
      <c r="T164" s="99">
        <f t="shared" ref="T164:AD164" ca="1" si="236">T397</f>
        <v>0</v>
      </c>
      <c r="U164" s="99">
        <f t="shared" ca="1" si="236"/>
        <v>0</v>
      </c>
      <c r="V164" s="99">
        <f t="shared" ca="1" si="236"/>
        <v>0</v>
      </c>
      <c r="W164" s="99">
        <f t="shared" ca="1" si="236"/>
        <v>0</v>
      </c>
      <c r="X164" s="99">
        <f t="shared" ca="1" si="236"/>
        <v>0</v>
      </c>
      <c r="Y164" s="99">
        <f t="shared" ca="1" si="236"/>
        <v>0</v>
      </c>
      <c r="Z164" s="99">
        <f t="shared" ca="1" si="236"/>
        <v>0</v>
      </c>
      <c r="AA164" s="99">
        <f t="shared" ca="1" si="236"/>
        <v>0</v>
      </c>
      <c r="AB164" s="99">
        <f t="shared" ca="1" si="236"/>
        <v>0</v>
      </c>
      <c r="AC164" s="99">
        <f t="shared" ca="1" si="236"/>
        <v>0</v>
      </c>
      <c r="AD164" s="99">
        <f t="shared" ca="1" si="236"/>
        <v>0</v>
      </c>
      <c r="AE164" s="100">
        <f ca="1">SUM(S164:AD164)</f>
        <v>0</v>
      </c>
      <c r="AF164" s="100">
        <f ca="1">AF397</f>
        <v>614636.61266666674</v>
      </c>
      <c r="AG164" s="100">
        <f ca="1">AG397</f>
        <v>1338660.0270666666</v>
      </c>
      <c r="AH164" s="100">
        <f ca="1">AH397</f>
        <v>1628326.5122666673</v>
      </c>
      <c r="AI164" s="304" t="s">
        <v>321</v>
      </c>
    </row>
    <row r="165" spans="1:35">
      <c r="A165" s="96"/>
      <c r="B165" s="97"/>
      <c r="C165" s="98"/>
      <c r="D165" s="98"/>
      <c r="E165" s="98"/>
      <c r="F165" s="99"/>
      <c r="G165" s="99"/>
      <c r="H165" s="99"/>
      <c r="I165" s="99"/>
      <c r="J165" s="99"/>
      <c r="K165" s="99"/>
      <c r="L165" s="99"/>
      <c r="M165" s="99"/>
      <c r="N165" s="99"/>
      <c r="O165" s="99"/>
      <c r="P165" s="99"/>
      <c r="Q165" s="99"/>
      <c r="R165" s="100"/>
      <c r="S165" s="99"/>
      <c r="T165" s="99"/>
      <c r="U165" s="99"/>
      <c r="V165" s="99"/>
      <c r="W165" s="99"/>
      <c r="X165" s="99"/>
      <c r="Y165" s="99"/>
      <c r="Z165" s="99"/>
      <c r="AA165" s="99"/>
      <c r="AB165" s="99"/>
      <c r="AC165" s="99"/>
      <c r="AD165" s="99"/>
      <c r="AE165" s="100"/>
      <c r="AF165" s="100"/>
      <c r="AG165" s="100"/>
      <c r="AH165" s="100"/>
      <c r="AI165" s="304" t="s">
        <v>321</v>
      </c>
    </row>
    <row r="166" spans="1:35" s="99" customFormat="1">
      <c r="A166" s="83" t="s">
        <v>171</v>
      </c>
      <c r="B166" s="102"/>
      <c r="C166" s="85"/>
      <c r="D166" s="85"/>
      <c r="E166" s="85"/>
      <c r="F166" s="103">
        <f ca="1">F163-F164</f>
        <v>-7509.166666666667</v>
      </c>
      <c r="G166" s="103">
        <f t="shared" ref="G166:Q166" ca="1" si="237">G163-G164</f>
        <v>-7509.166666666667</v>
      </c>
      <c r="H166" s="103">
        <f t="shared" ca="1" si="237"/>
        <v>-22509.166666666664</v>
      </c>
      <c r="I166" s="103">
        <f t="shared" ca="1" si="237"/>
        <v>-20337.336666666662</v>
      </c>
      <c r="J166" s="103">
        <f t="shared" ca="1" si="237"/>
        <v>-14251.426666666666</v>
      </c>
      <c r="K166" s="103">
        <f ca="1">K163-K164</f>
        <v>-34223.42333333334</v>
      </c>
      <c r="L166" s="103">
        <f t="shared" ca="1" si="237"/>
        <v>-38137.513333333336</v>
      </c>
      <c r="M166" s="103">
        <f t="shared" ca="1" si="237"/>
        <v>-26192.453333333338</v>
      </c>
      <c r="N166" s="103">
        <f t="shared" ca="1" si="237"/>
        <v>-25106.533333333326</v>
      </c>
      <c r="O166" s="103">
        <f t="shared" ca="1" si="237"/>
        <v>-34020.623333333322</v>
      </c>
      <c r="P166" s="103">
        <f t="shared" ca="1" si="237"/>
        <v>-34474.16333333333</v>
      </c>
      <c r="Q166" s="103">
        <f t="shared" ca="1" si="237"/>
        <v>-10130.503333333327</v>
      </c>
      <c r="R166" s="104">
        <f ca="1">SUM(F166:Q166)</f>
        <v>-274401.47666666668</v>
      </c>
      <c r="S166" s="103">
        <f t="shared" ref="S166:AD166" ca="1" si="238">S163-S164</f>
        <v>-75971.496666666644</v>
      </c>
      <c r="T166" s="103">
        <f t="shared" ca="1" si="238"/>
        <v>-80691.400000000023</v>
      </c>
      <c r="U166" s="103">
        <f ca="1">U163-U164</f>
        <v>-96348.399333333335</v>
      </c>
      <c r="V166" s="103">
        <f ca="1">V163-V164</f>
        <v>-86434.839333333337</v>
      </c>
      <c r="W166" s="103">
        <f t="shared" ca="1" si="238"/>
        <v>-44738.305333333294</v>
      </c>
      <c r="X166" s="103">
        <f t="shared" ca="1" si="238"/>
        <v>-30935.995333333325</v>
      </c>
      <c r="Y166" s="103">
        <f t="shared" ca="1" si="238"/>
        <v>-31372.829333333299</v>
      </c>
      <c r="Z166" s="103">
        <f t="shared" ca="1" si="238"/>
        <v>10755.852666666673</v>
      </c>
      <c r="AA166" s="103">
        <f t="shared" ca="1" si="238"/>
        <v>34547.012666666706</v>
      </c>
      <c r="AB166" s="103">
        <f t="shared" ca="1" si="238"/>
        <v>82692.08666666667</v>
      </c>
      <c r="AC166" s="103">
        <f t="shared" ca="1" si="238"/>
        <v>87008.788666666835</v>
      </c>
      <c r="AD166" s="103">
        <f t="shared" ca="1" si="238"/>
        <v>201045.27466666675</v>
      </c>
      <c r="AE166" s="104">
        <f ca="1">SUM(S166:AD166)</f>
        <v>-30444.249999999593</v>
      </c>
      <c r="AF166" s="104">
        <f ca="1">AF163-AF164</f>
        <v>1226800.6456666661</v>
      </c>
      <c r="AG166" s="104">
        <f ca="1">AG163-AG164</f>
        <v>2007990.0405999999</v>
      </c>
      <c r="AH166" s="104">
        <f ca="1">AH163-AH164</f>
        <v>2442489.7684000004</v>
      </c>
      <c r="AI166" s="304" t="s">
        <v>321</v>
      </c>
    </row>
    <row r="167" spans="1:35">
      <c r="A167" s="120"/>
      <c r="B167" s="121" t="s">
        <v>197</v>
      </c>
      <c r="C167" s="98"/>
      <c r="D167" s="98"/>
      <c r="E167" s="98"/>
      <c r="F167" s="122">
        <f t="shared" ref="F167:O167" si="239">IF(F$92&gt;0,F166/F$92,0)</f>
        <v>0</v>
      </c>
      <c r="G167" s="122">
        <f t="shared" si="239"/>
        <v>0</v>
      </c>
      <c r="H167" s="122">
        <f t="shared" si="239"/>
        <v>0</v>
      </c>
      <c r="I167" s="122">
        <f t="shared" ca="1" si="239"/>
        <v>-3.8737784126984121</v>
      </c>
      <c r="J167" s="122">
        <f t="shared" ca="1" si="239"/>
        <v>-1.8097049735449735</v>
      </c>
      <c r="K167" s="122">
        <f t="shared" ca="1" si="239"/>
        <v>-3.2593736507936515</v>
      </c>
      <c r="L167" s="122">
        <f t="shared" ca="1" si="239"/>
        <v>-2.9057153015873016</v>
      </c>
      <c r="M167" s="122">
        <f t="shared" ca="1" si="239"/>
        <v>-0.62362984126984145</v>
      </c>
      <c r="N167" s="122">
        <f t="shared" ca="1" si="239"/>
        <v>-0.56261139122315573</v>
      </c>
      <c r="O167" s="122">
        <f t="shared" ca="1" si="239"/>
        <v>-0.72001319223985871</v>
      </c>
      <c r="P167" s="122">
        <f t="shared" ref="P167:Y167" ca="1" si="240">IF(P$92&gt;0,P166/P$92,0)</f>
        <v>-0.36480596119929448</v>
      </c>
      <c r="Q167" s="122">
        <f t="shared" ca="1" si="240"/>
        <v>-9.6480984126984068E-2</v>
      </c>
      <c r="R167" s="123">
        <f t="shared" ca="1" si="240"/>
        <v>-0.74137514803557358</v>
      </c>
      <c r="S167" s="122">
        <f t="shared" ca="1" si="240"/>
        <v>-0.61316785041700272</v>
      </c>
      <c r="T167" s="122">
        <f t="shared" ca="1" si="240"/>
        <v>-0.55191721043487796</v>
      </c>
      <c r="U167" s="122">
        <f t="shared" ca="1" si="240"/>
        <v>-0.55848268331960049</v>
      </c>
      <c r="V167" s="122">
        <f t="shared" ca="1" si="240"/>
        <v>-0.4245912099525197</v>
      </c>
      <c r="W167" s="122">
        <f t="shared" ca="1" si="240"/>
        <v>-0.18624291814381666</v>
      </c>
      <c r="X167" s="122">
        <f t="shared" ca="1" si="240"/>
        <v>-0.10913946235094864</v>
      </c>
      <c r="Y167" s="122">
        <f t="shared" ca="1" si="240"/>
        <v>-9.3797120306406079E-2</v>
      </c>
      <c r="Z167" s="122">
        <f t="shared" ref="Z167:AE167" ca="1" si="241">IF(Z$92&gt;0,Z166/Z$92,0)</f>
        <v>2.7251991173808117E-2</v>
      </c>
      <c r="AA167" s="122">
        <f t="shared" ca="1" si="241"/>
        <v>7.4179099002804352E-2</v>
      </c>
      <c r="AB167" s="122">
        <f t="shared" ca="1" si="241"/>
        <v>0.15047119855167468</v>
      </c>
      <c r="AC167" s="122">
        <f t="shared" ca="1" si="241"/>
        <v>0.13417473779841316</v>
      </c>
      <c r="AD167" s="122">
        <f t="shared" ca="1" si="241"/>
        <v>0.26273591775455907</v>
      </c>
      <c r="AE167" s="123">
        <f t="shared" ca="1" si="241"/>
        <v>-7.0343044875265295E-3</v>
      </c>
      <c r="AF167" s="123">
        <f ca="1">IF(AF$92&gt;0,AF166/AF$92,0)</f>
        <v>0.11587190094815204</v>
      </c>
      <c r="AG167" s="123">
        <f ca="1">IF(AG$92&gt;0,AG166/AG$92,0)</f>
        <v>0.13078343326119723</v>
      </c>
      <c r="AH167" s="123">
        <f ca="1">IF(AH$92&gt;0,AH166/AH$92,0)</f>
        <v>0.11978873770604079</v>
      </c>
      <c r="AI167" s="304" t="s">
        <v>321</v>
      </c>
    </row>
    <row r="168" spans="1:35" ht="8.25" thickBot="1">
      <c r="A168" s="96"/>
      <c r="B168" s="97"/>
      <c r="C168" s="98"/>
      <c r="D168" s="98"/>
      <c r="E168" s="98"/>
      <c r="F168" s="99"/>
      <c r="G168" s="99"/>
      <c r="H168" s="99"/>
      <c r="I168" s="99"/>
      <c r="J168" s="99"/>
      <c r="K168" s="99"/>
      <c r="L168" s="99"/>
      <c r="M168" s="99"/>
      <c r="N168" s="99"/>
      <c r="O168" s="99"/>
      <c r="P168" s="99"/>
      <c r="Q168" s="99"/>
      <c r="R168" s="100"/>
      <c r="S168" s="99"/>
      <c r="T168" s="99"/>
      <c r="U168" s="99"/>
      <c r="V168" s="99"/>
      <c r="W168" s="99"/>
      <c r="X168" s="99"/>
      <c r="Y168" s="99"/>
      <c r="Z168" s="99"/>
      <c r="AA168" s="99"/>
      <c r="AB168" s="99"/>
      <c r="AC168" s="99"/>
      <c r="AD168" s="99"/>
      <c r="AE168" s="100"/>
      <c r="AF168" s="100"/>
      <c r="AG168" s="100"/>
      <c r="AH168" s="100"/>
      <c r="AI168" s="304" t="s">
        <v>321</v>
      </c>
    </row>
    <row r="169" spans="1:35" s="65" customFormat="1" ht="8.25" thickTop="1">
      <c r="A169" s="73" t="s">
        <v>35</v>
      </c>
      <c r="B169" s="74"/>
      <c r="C169" s="75"/>
      <c r="D169" s="75"/>
      <c r="E169" s="75"/>
      <c r="F169" s="105"/>
      <c r="G169" s="105"/>
      <c r="H169" s="105"/>
      <c r="I169" s="105"/>
      <c r="J169" s="105"/>
      <c r="K169" s="105"/>
      <c r="L169" s="105"/>
      <c r="M169" s="105"/>
      <c r="N169" s="105"/>
      <c r="O169" s="105"/>
      <c r="P169" s="105"/>
      <c r="Q169" s="105"/>
      <c r="R169" s="106"/>
      <c r="S169" s="105"/>
      <c r="T169" s="105"/>
      <c r="U169" s="105"/>
      <c r="V169" s="105"/>
      <c r="W169" s="105"/>
      <c r="X169" s="105"/>
      <c r="Y169" s="105"/>
      <c r="Z169" s="105"/>
      <c r="AA169" s="105"/>
      <c r="AB169" s="105"/>
      <c r="AC169" s="105"/>
      <c r="AD169" s="105"/>
      <c r="AE169" s="106"/>
      <c r="AF169" s="106"/>
      <c r="AG169" s="106"/>
      <c r="AH169" s="106"/>
      <c r="AI169" s="304" t="s">
        <v>321</v>
      </c>
    </row>
    <row r="170" spans="1:35" s="65" customFormat="1" ht="8.25" thickBot="1">
      <c r="A170" s="78" t="str">
        <f>$A$1</f>
        <v>PEP STRAW</v>
      </c>
      <c r="B170" s="79"/>
      <c r="C170" s="80"/>
      <c r="D170" s="80"/>
      <c r="E170" s="80"/>
      <c r="F170" s="107"/>
      <c r="G170" s="107"/>
      <c r="H170" s="107"/>
      <c r="I170" s="107"/>
      <c r="J170" s="107"/>
      <c r="K170" s="107"/>
      <c r="L170" s="107"/>
      <c r="M170" s="107"/>
      <c r="N170" s="107"/>
      <c r="O170" s="107"/>
      <c r="P170" s="107"/>
      <c r="Q170" s="107"/>
      <c r="R170" s="108"/>
      <c r="S170" s="107"/>
      <c r="T170" s="107"/>
      <c r="U170" s="107"/>
      <c r="V170" s="107"/>
      <c r="W170" s="107"/>
      <c r="X170" s="107"/>
      <c r="Y170" s="107"/>
      <c r="Z170" s="107"/>
      <c r="AA170" s="107"/>
      <c r="AB170" s="107"/>
      <c r="AC170" s="107"/>
      <c r="AD170" s="107"/>
      <c r="AE170" s="108"/>
      <c r="AF170" s="108"/>
      <c r="AG170" s="108"/>
      <c r="AH170" s="108"/>
      <c r="AI170" s="304" t="s">
        <v>321</v>
      </c>
    </row>
    <row r="171" spans="1:35" ht="8.25" thickTop="1">
      <c r="A171" s="83"/>
      <c r="B171" s="84">
        <f ca="1">NOW()</f>
        <v>44371.35163020833</v>
      </c>
      <c r="C171" s="138"/>
      <c r="D171" s="138"/>
      <c r="E171" s="138" t="s">
        <v>211</v>
      </c>
      <c r="F171" s="86" t="str">
        <f t="shared" ref="F171:Q171" si="242">F$8</f>
        <v>Month 1</v>
      </c>
      <c r="G171" s="86" t="str">
        <f t="shared" si="242"/>
        <v>Month 2</v>
      </c>
      <c r="H171" s="86" t="str">
        <f t="shared" si="242"/>
        <v>Month 3</v>
      </c>
      <c r="I171" s="86" t="str">
        <f t="shared" si="242"/>
        <v>Month 4</v>
      </c>
      <c r="J171" s="86" t="str">
        <f t="shared" si="242"/>
        <v>Month 5</v>
      </c>
      <c r="K171" s="86" t="str">
        <f t="shared" si="242"/>
        <v>Month 6</v>
      </c>
      <c r="L171" s="86" t="str">
        <f t="shared" si="242"/>
        <v>Month 7</v>
      </c>
      <c r="M171" s="86" t="str">
        <f t="shared" si="242"/>
        <v>Month 8</v>
      </c>
      <c r="N171" s="86" t="str">
        <f t="shared" si="242"/>
        <v>Month 9</v>
      </c>
      <c r="O171" s="86" t="str">
        <f t="shared" si="242"/>
        <v>Month 10</v>
      </c>
      <c r="P171" s="86" t="str">
        <f t="shared" si="242"/>
        <v>Month 11</v>
      </c>
      <c r="Q171" s="86" t="str">
        <f t="shared" si="242"/>
        <v>Month 12</v>
      </c>
      <c r="R171" s="87" t="s">
        <v>127</v>
      </c>
      <c r="S171" s="86" t="str">
        <f t="shared" ref="S171:AD171" si="243">S$8</f>
        <v>Month 13</v>
      </c>
      <c r="T171" s="86" t="str">
        <f t="shared" si="243"/>
        <v>Month 14</v>
      </c>
      <c r="U171" s="86" t="str">
        <f t="shared" si="243"/>
        <v>Month 15</v>
      </c>
      <c r="V171" s="86" t="str">
        <f t="shared" si="243"/>
        <v>Month 16</v>
      </c>
      <c r="W171" s="86" t="str">
        <f t="shared" si="243"/>
        <v>Month 17</v>
      </c>
      <c r="X171" s="86" t="str">
        <f t="shared" si="243"/>
        <v>Month 18</v>
      </c>
      <c r="Y171" s="86" t="str">
        <f t="shared" si="243"/>
        <v>Month 19</v>
      </c>
      <c r="Z171" s="86" t="str">
        <f t="shared" si="243"/>
        <v>Month 20</v>
      </c>
      <c r="AA171" s="86" t="str">
        <f t="shared" si="243"/>
        <v>Month 21</v>
      </c>
      <c r="AB171" s="86" t="str">
        <f t="shared" si="243"/>
        <v>Month 22</v>
      </c>
      <c r="AC171" s="86" t="str">
        <f t="shared" si="243"/>
        <v>Month 23</v>
      </c>
      <c r="AD171" s="86" t="str">
        <f t="shared" si="243"/>
        <v>Month 24</v>
      </c>
      <c r="AE171" s="87" t="s">
        <v>127</v>
      </c>
      <c r="AF171" s="87" t="str">
        <f>AF$8</f>
        <v>Total</v>
      </c>
      <c r="AG171" s="87" t="str">
        <f>AG$8</f>
        <v>Total</v>
      </c>
      <c r="AH171" s="87" t="str">
        <f>AH$8</f>
        <v>Total</v>
      </c>
      <c r="AI171" s="304" t="s">
        <v>321</v>
      </c>
    </row>
    <row r="172" spans="1:35">
      <c r="A172" s="89"/>
      <c r="B172" s="90">
        <f ca="1">NOW()</f>
        <v>44371.35163020833</v>
      </c>
      <c r="C172" s="91"/>
      <c r="D172" s="91"/>
      <c r="E172" s="91"/>
      <c r="F172" s="92">
        <f t="shared" ref="F172:AH172" si="244">F$1</f>
        <v>43466</v>
      </c>
      <c r="G172" s="92">
        <f t="shared" si="244"/>
        <v>43497</v>
      </c>
      <c r="H172" s="92">
        <f t="shared" si="244"/>
        <v>43528</v>
      </c>
      <c r="I172" s="92">
        <f t="shared" si="244"/>
        <v>43559</v>
      </c>
      <c r="J172" s="92">
        <f t="shared" si="244"/>
        <v>43590</v>
      </c>
      <c r="K172" s="92">
        <f t="shared" si="244"/>
        <v>43621</v>
      </c>
      <c r="L172" s="92">
        <f t="shared" si="244"/>
        <v>43652</v>
      </c>
      <c r="M172" s="92">
        <f t="shared" si="244"/>
        <v>43683</v>
      </c>
      <c r="N172" s="92">
        <f t="shared" si="244"/>
        <v>43714</v>
      </c>
      <c r="O172" s="92">
        <f t="shared" si="244"/>
        <v>43745</v>
      </c>
      <c r="P172" s="92">
        <f t="shared" si="244"/>
        <v>43776</v>
      </c>
      <c r="Q172" s="92">
        <f t="shared" si="244"/>
        <v>43807</v>
      </c>
      <c r="R172" s="93">
        <f t="shared" si="244"/>
        <v>43807</v>
      </c>
      <c r="S172" s="92">
        <f t="shared" si="244"/>
        <v>43838</v>
      </c>
      <c r="T172" s="92">
        <f t="shared" si="244"/>
        <v>43869</v>
      </c>
      <c r="U172" s="92">
        <f t="shared" si="244"/>
        <v>43900</v>
      </c>
      <c r="V172" s="92">
        <f t="shared" si="244"/>
        <v>43931</v>
      </c>
      <c r="W172" s="92">
        <f t="shared" si="244"/>
        <v>43962</v>
      </c>
      <c r="X172" s="92">
        <f t="shared" si="244"/>
        <v>43993</v>
      </c>
      <c r="Y172" s="92">
        <f t="shared" si="244"/>
        <v>44024</v>
      </c>
      <c r="Z172" s="92">
        <f t="shared" si="244"/>
        <v>44055</v>
      </c>
      <c r="AA172" s="92">
        <f t="shared" si="244"/>
        <v>44086</v>
      </c>
      <c r="AB172" s="92">
        <f t="shared" si="244"/>
        <v>44117</v>
      </c>
      <c r="AC172" s="92">
        <f t="shared" si="244"/>
        <v>44148</v>
      </c>
      <c r="AD172" s="92">
        <f t="shared" si="244"/>
        <v>44179</v>
      </c>
      <c r="AE172" s="93">
        <f t="shared" si="244"/>
        <v>44179</v>
      </c>
      <c r="AF172" s="93">
        <f t="shared" si="244"/>
        <v>44544</v>
      </c>
      <c r="AG172" s="93">
        <f t="shared" si="244"/>
        <v>44909</v>
      </c>
      <c r="AH172" s="93">
        <f t="shared" si="244"/>
        <v>45274</v>
      </c>
      <c r="AI172" s="304" t="s">
        <v>321</v>
      </c>
    </row>
    <row r="173" spans="1:35">
      <c r="A173" s="89"/>
      <c r="B173" s="90"/>
      <c r="C173" s="91"/>
      <c r="D173" s="91"/>
      <c r="E173" s="91"/>
      <c r="F173" s="92"/>
      <c r="G173" s="92"/>
      <c r="H173" s="92"/>
      <c r="I173" s="92"/>
      <c r="J173" s="92"/>
      <c r="K173" s="92"/>
      <c r="L173" s="92"/>
      <c r="M173" s="92"/>
      <c r="N173" s="92"/>
      <c r="O173" s="92"/>
      <c r="P173" s="92"/>
      <c r="Q173" s="92"/>
      <c r="R173" s="93"/>
      <c r="S173" s="92"/>
      <c r="T173" s="92"/>
      <c r="U173" s="92"/>
      <c r="V173" s="92"/>
      <c r="W173" s="92"/>
      <c r="X173" s="92"/>
      <c r="Y173" s="92"/>
      <c r="Z173" s="92"/>
      <c r="AA173" s="92"/>
      <c r="AB173" s="92"/>
      <c r="AC173" s="92"/>
      <c r="AD173" s="92"/>
      <c r="AE173" s="93"/>
      <c r="AF173" s="93"/>
      <c r="AG173" s="93"/>
      <c r="AH173" s="93"/>
      <c r="AI173" s="304" t="s">
        <v>321</v>
      </c>
    </row>
    <row r="174" spans="1:35">
      <c r="A174" s="96" t="s">
        <v>212</v>
      </c>
      <c r="B174" s="97"/>
      <c r="C174" s="98"/>
      <c r="D174" s="98"/>
      <c r="E174" s="98"/>
      <c r="F174" s="99"/>
      <c r="G174" s="99"/>
      <c r="H174" s="99"/>
      <c r="I174" s="99"/>
      <c r="J174" s="99"/>
      <c r="K174" s="99"/>
      <c r="L174" s="99"/>
      <c r="M174" s="99"/>
      <c r="N174" s="99"/>
      <c r="O174" s="99"/>
      <c r="P174" s="99"/>
      <c r="Q174" s="99"/>
      <c r="R174" s="100"/>
      <c r="S174" s="99"/>
      <c r="T174" s="99"/>
      <c r="U174" s="99"/>
      <c r="V174" s="99"/>
      <c r="W174" s="99"/>
      <c r="X174" s="99"/>
      <c r="Y174" s="99"/>
      <c r="Z174" s="99"/>
      <c r="AA174" s="99"/>
      <c r="AB174" s="99"/>
      <c r="AC174" s="99"/>
      <c r="AD174" s="99"/>
      <c r="AE174" s="100"/>
      <c r="AF174" s="100"/>
      <c r="AG174" s="100"/>
      <c r="AH174" s="100"/>
      <c r="AI174" s="304" t="s">
        <v>321</v>
      </c>
    </row>
    <row r="175" spans="1:35">
      <c r="A175" s="96"/>
      <c r="B175" s="97"/>
      <c r="C175" s="98"/>
      <c r="D175" s="98"/>
      <c r="E175" s="98"/>
      <c r="F175" s="99"/>
      <c r="G175" s="99"/>
      <c r="H175" s="99"/>
      <c r="I175" s="99"/>
      <c r="J175" s="99"/>
      <c r="K175" s="99"/>
      <c r="L175" s="99"/>
      <c r="M175" s="99"/>
      <c r="N175" s="99"/>
      <c r="O175" s="99"/>
      <c r="P175" s="99"/>
      <c r="Q175" s="99"/>
      <c r="R175" s="100"/>
      <c r="S175" s="99"/>
      <c r="T175" s="99"/>
      <c r="U175" s="99"/>
      <c r="V175" s="99"/>
      <c r="W175" s="99"/>
      <c r="X175" s="99"/>
      <c r="Y175" s="99"/>
      <c r="Z175" s="99"/>
      <c r="AA175" s="99"/>
      <c r="AB175" s="99"/>
      <c r="AC175" s="99"/>
      <c r="AD175" s="99"/>
      <c r="AE175" s="100"/>
      <c r="AF175" s="100"/>
      <c r="AG175" s="100"/>
      <c r="AH175" s="100"/>
      <c r="AI175" s="304" t="s">
        <v>321</v>
      </c>
    </row>
    <row r="176" spans="1:35">
      <c r="A176" s="96" t="s">
        <v>213</v>
      </c>
      <c r="B176" s="97"/>
      <c r="C176" s="98"/>
      <c r="D176" s="98"/>
      <c r="E176" s="98"/>
      <c r="F176" s="99"/>
      <c r="G176" s="99"/>
      <c r="H176" s="99"/>
      <c r="I176" s="99"/>
      <c r="J176" s="99"/>
      <c r="K176" s="99"/>
      <c r="L176" s="99"/>
      <c r="M176" s="99"/>
      <c r="N176" s="99"/>
      <c r="O176" s="99"/>
      <c r="P176" s="99"/>
      <c r="Q176" s="99"/>
      <c r="R176" s="100"/>
      <c r="S176" s="99"/>
      <c r="T176" s="99"/>
      <c r="U176" s="99"/>
      <c r="V176" s="99"/>
      <c r="W176" s="99"/>
      <c r="X176" s="99"/>
      <c r="Y176" s="99"/>
      <c r="Z176" s="99"/>
      <c r="AA176" s="99"/>
      <c r="AB176" s="99"/>
      <c r="AC176" s="99"/>
      <c r="AD176" s="99"/>
      <c r="AE176" s="100"/>
      <c r="AF176" s="100"/>
      <c r="AG176" s="100"/>
      <c r="AH176" s="100"/>
      <c r="AI176" s="304" t="s">
        <v>321</v>
      </c>
    </row>
    <row r="177" spans="1:37">
      <c r="A177" s="96"/>
      <c r="B177" s="97" t="s">
        <v>214</v>
      </c>
      <c r="C177" s="98"/>
      <c r="D177" s="98"/>
      <c r="E177" s="139">
        <v>100000</v>
      </c>
      <c r="F177" s="318">
        <f ca="1">F223-SUM(F180:F180)-F195</f>
        <v>92695.833333333328</v>
      </c>
      <c r="G177" s="99">
        <f t="shared" ref="G177:Q177" ca="1" si="245">G223-SUM(G180:G180)-G195</f>
        <v>85261.666666666657</v>
      </c>
      <c r="H177" s="99">
        <f t="shared" ca="1" si="245"/>
        <v>67827.5</v>
      </c>
      <c r="I177" s="99">
        <f t="shared" ca="1" si="245"/>
        <v>197860.83333333334</v>
      </c>
      <c r="J177" s="99">
        <f t="shared" ca="1" si="245"/>
        <v>188832.24666666667</v>
      </c>
      <c r="K177" s="99">
        <f ca="1">K223-SUM(K180:K180)-K195</f>
        <v>161802.06999999998</v>
      </c>
      <c r="L177" s="99">
        <f t="shared" ca="1" si="245"/>
        <v>128947.81333333331</v>
      </c>
      <c r="M177" s="99">
        <f t="shared" ca="1" si="245"/>
        <v>104516.96666666665</v>
      </c>
      <c r="N177" s="99">
        <f t="shared" ca="1" si="245"/>
        <v>79693.679999999993</v>
      </c>
      <c r="O177" s="99">
        <f t="shared" ca="1" si="245"/>
        <v>55956.313333333346</v>
      </c>
      <c r="P177" s="99">
        <f t="shared" ca="1" si="245"/>
        <v>44278.606666666674</v>
      </c>
      <c r="Q177" s="99">
        <f t="shared" ca="1" si="245"/>
        <v>14874.860000000011</v>
      </c>
      <c r="R177" s="100">
        <f ca="1">Q177</f>
        <v>14874.860000000011</v>
      </c>
      <c r="S177" s="67">
        <f t="shared" ref="S177:AD177" ca="1" si="246">S223-SUM(S180:S180)-S195</f>
        <v>791225.27333333343</v>
      </c>
      <c r="T177" s="99">
        <f t="shared" ca="1" si="246"/>
        <v>718906.55</v>
      </c>
      <c r="U177" s="99">
        <f t="shared" ca="1" si="246"/>
        <v>613833.74049999996</v>
      </c>
      <c r="V177" s="99">
        <f t="shared" ca="1" si="246"/>
        <v>532509.77033333341</v>
      </c>
      <c r="W177" s="99">
        <f t="shared" ca="1" si="246"/>
        <v>493726.26066666667</v>
      </c>
      <c r="X177" s="67">
        <f t="shared" ca="1" si="246"/>
        <v>469739.45200000022</v>
      </c>
      <c r="Y177" s="99">
        <f t="shared" ca="1" si="246"/>
        <v>463212.77533333335</v>
      </c>
      <c r="Z177" s="99">
        <f t="shared" ca="1" si="246"/>
        <v>460565.9091666668</v>
      </c>
      <c r="AA177" s="99">
        <f t="shared" ca="1" si="246"/>
        <v>505141.13850000023</v>
      </c>
      <c r="AB177" s="99">
        <f t="shared" ca="1" si="246"/>
        <v>579517.37083333347</v>
      </c>
      <c r="AC177" s="99">
        <f t="shared" ca="1" si="246"/>
        <v>709130.76566666702</v>
      </c>
      <c r="AD177" s="99">
        <f t="shared" ca="1" si="246"/>
        <v>851429.63550000044</v>
      </c>
      <c r="AE177" s="100">
        <f ca="1">AD177</f>
        <v>851429.63550000044</v>
      </c>
      <c r="AF177" s="100">
        <f ca="1">AF223-SUM(AF180:AF180)-AF195</f>
        <v>2317302.5755000003</v>
      </c>
      <c r="AG177" s="100">
        <f ca="1">AG223-SUM(AG180:AG180)-AG195</f>
        <v>4526266.7322416669</v>
      </c>
      <c r="AH177" s="100">
        <f ca="1">AH223-SUM(AH180:AH180)-AH195</f>
        <v>7139905.9838749999</v>
      </c>
      <c r="AI177" s="304" t="s">
        <v>321</v>
      </c>
      <c r="AK177" s="371">
        <f ca="1">AH177</f>
        <v>7139905.9838749999</v>
      </c>
    </row>
    <row r="178" spans="1:37">
      <c r="A178" s="96"/>
      <c r="B178" s="97" t="str">
        <f>"Gross Accounts Receivable ("&amp;Assumptions!$I$42&amp;" days)"</f>
        <v>Gross Accounts Receivable (15 days)</v>
      </c>
      <c r="C178" s="98"/>
      <c r="D178" s="98"/>
      <c r="E178" s="139">
        <v>0</v>
      </c>
      <c r="F178" s="99">
        <f ca="1">IF(Assumptions!$I$42&lt;=0,0,IF(Assumptions!$I$42/30&gt;=COLUMNS($E178:F178),SUM($E92:F92),IF(ROUNDDOWN(Assumptions!$I$42/30,0)&gt;0,SUM(OFFSET(F92,0,-(ROUNDDOWN(Assumptions!$I$42/30,0)-1)):F92)+(OFFSET(F92,0,-(ROUNDUP(Assumptions!$I$42/30,0)-1))*MOD(Assumptions!$I$42,30)/30),F92*(MOD(Assumptions!$I$42,30)/30))))</f>
        <v>0</v>
      </c>
      <c r="G178" s="99">
        <f ca="1">IF(Assumptions!$I$42&lt;=0,0,IF(Assumptions!$I$42/30&gt;=COLUMNS($E178:G178),SUM($E92:G92),IF(ROUNDDOWN(Assumptions!$I$42/30,0)&gt;0,SUM(OFFSET(G92,0,-(ROUNDDOWN(Assumptions!$I$42/30,0)-1)):G92)+(OFFSET(G92,0,-(ROUNDUP(Assumptions!$I$42/30,0)-1))*MOD(Assumptions!$I$42,30)/30),G92*(MOD(Assumptions!$I$42,30)/30))))</f>
        <v>0</v>
      </c>
      <c r="H178" s="99">
        <f ca="1">IF(Assumptions!$I$42&lt;=0,0,IF(Assumptions!$I$42/30&gt;=COLUMNS($E178:H178),SUM($E92:H92),IF(ROUNDDOWN(Assumptions!$I$42/30,0)&gt;0,SUM(OFFSET(H92,0,-(ROUNDDOWN(Assumptions!$I$42/30,0)-1)):H92)+(OFFSET(H92,0,-(ROUNDUP(Assumptions!$I$42/30,0)-1))*MOD(Assumptions!$I$42,30)/30),H92*(MOD(Assumptions!$I$42,30)/30))))</f>
        <v>0</v>
      </c>
      <c r="I178" s="99">
        <f ca="1">IF(Assumptions!$I$42&lt;=0,0,IF(Assumptions!$I$42/30&gt;=COLUMNS($E178:I178),SUM($E92:I92),IF(ROUNDDOWN(Assumptions!$I$42/30,0)&gt;0,SUM(OFFSET(I92,0,-(ROUNDDOWN(Assumptions!$I$42/30,0)-1)):I92)+(OFFSET(I92,0,-(ROUNDUP(Assumptions!$I$42/30,0)-1))*MOD(Assumptions!$I$42,30)/30),I92*(MOD(Assumptions!$I$42,30)/30))))</f>
        <v>2625</v>
      </c>
      <c r="J178" s="99">
        <f ca="1">IF(Assumptions!$I$42&lt;=0,0,IF(Assumptions!$I$42/30&gt;=COLUMNS($E178:J178),SUM($E92:J92),IF(ROUNDDOWN(Assumptions!$I$42/30,0)&gt;0,SUM(OFFSET(J92,0,-(ROUNDDOWN(Assumptions!$I$42/30,0)-1)):J92)+(OFFSET(J92,0,-(ROUNDUP(Assumptions!$I$42/30,0)-1))*MOD(Assumptions!$I$42,30)/30),J92*(MOD(Assumptions!$I$42,30)/30))))</f>
        <v>3937.5</v>
      </c>
      <c r="K178" s="99">
        <f ca="1">IF(Assumptions!$I$42&lt;=0,0,IF(Assumptions!$I$42/30&gt;=COLUMNS($E178:K178),SUM($E92:K92),IF(ROUNDDOWN(Assumptions!$I$42/30,0)&gt;0,SUM(OFFSET(K92,0,-(ROUNDDOWN(Assumptions!$I$42/30,0)-1)):K92)+(OFFSET(K92,0,-(ROUNDUP(Assumptions!$I$42/30,0)-1))*MOD(Assumptions!$I$42,30)/30),K92*(MOD(Assumptions!$I$42,30)/30))))</f>
        <v>5250</v>
      </c>
      <c r="L178" s="99">
        <f ca="1">IF(Assumptions!$I$42&lt;=0,0,IF(Assumptions!$I$42/30&gt;=COLUMNS($E178:L178),SUM($E92:L92),IF(ROUNDDOWN(Assumptions!$I$42/30,0)&gt;0,SUM(OFFSET(L92,0,-(ROUNDDOWN(Assumptions!$I$42/30,0)-1)):L92)+(OFFSET(L92,0,-(ROUNDUP(Assumptions!$I$42/30,0)-1))*MOD(Assumptions!$I$42,30)/30),L92*(MOD(Assumptions!$I$42,30)/30))))</f>
        <v>6562.5</v>
      </c>
      <c r="M178" s="99">
        <f ca="1">IF(Assumptions!$I$42&lt;=0,0,IF(Assumptions!$I$42/30&gt;=COLUMNS($E178:M178),SUM($E92:M92),IF(ROUNDDOWN(Assumptions!$I$42/30,0)&gt;0,SUM(OFFSET(M92,0,-(ROUNDDOWN(Assumptions!$I$42/30,0)-1)):M92)+(OFFSET(M92,0,-(ROUNDUP(Assumptions!$I$42/30,0)-1))*MOD(Assumptions!$I$42,30)/30),M92*(MOD(Assumptions!$I$42,30)/30))))</f>
        <v>21000</v>
      </c>
      <c r="N178" s="99">
        <f ca="1">IF(Assumptions!$I$42&lt;=0,0,IF(Assumptions!$I$42/30&gt;=COLUMNS($E178:N178),SUM($E92:N92),IF(ROUNDDOWN(Assumptions!$I$42/30,0)&gt;0,SUM(OFFSET(N92,0,-(ROUNDDOWN(Assumptions!$I$42/30,0)-1)):N92)+(OFFSET(N92,0,-(ROUNDUP(Assumptions!$I$42/30,0)-1))*MOD(Assumptions!$I$42,30)/30),N92*(MOD(Assumptions!$I$42,30)/30))))</f>
        <v>22312.5</v>
      </c>
      <c r="O178" s="99">
        <f ca="1">IF(Assumptions!$I$42&lt;=0,0,IF(Assumptions!$I$42/30&gt;=COLUMNS($E178:O178),SUM($E92:O92),IF(ROUNDDOWN(Assumptions!$I$42/30,0)&gt;0,SUM(OFFSET(O92,0,-(ROUNDDOWN(Assumptions!$I$42/30,0)-1)):O92)+(OFFSET(O92,0,-(ROUNDUP(Assumptions!$I$42/30,0)-1))*MOD(Assumptions!$I$42,30)/30),O92*(MOD(Assumptions!$I$42,30)/30))))</f>
        <v>23625</v>
      </c>
      <c r="P178" s="99">
        <f ca="1">IF(Assumptions!$I$42&lt;=0,0,IF(Assumptions!$I$42/30&gt;=COLUMNS($E178:P178),SUM($E92:P92),IF(ROUNDDOWN(Assumptions!$I$42/30,0)&gt;0,SUM(OFFSET(P92,0,-(ROUNDDOWN(Assumptions!$I$42/30,0)-1)):P92)+(OFFSET(P92,0,-(ROUNDUP(Assumptions!$I$42/30,0)-1))*MOD(Assumptions!$I$42,30)/30),P92*(MOD(Assumptions!$I$42,30)/30))))</f>
        <v>47250</v>
      </c>
      <c r="Q178" s="99">
        <f ca="1">IF(Assumptions!$I$42&lt;=0,0,IF(Assumptions!$I$42/30&gt;=COLUMNS($E178:Q178),SUM($E92:Q92),IF(ROUNDDOWN(Assumptions!$I$42/30,0)&gt;0,SUM(OFFSET(Q92,0,-(ROUNDDOWN(Assumptions!$I$42/30,0)-1)):Q92)+(OFFSET(Q92,0,-(ROUNDUP(Assumptions!$I$42/30,0)-1))*MOD(Assumptions!$I$42,30)/30),Q92*(MOD(Assumptions!$I$42,30)/30))))</f>
        <v>52500</v>
      </c>
      <c r="R178" s="100">
        <f ca="1">Q178</f>
        <v>52500</v>
      </c>
      <c r="S178" s="99">
        <f ca="1">IF(Assumptions!$I$42&lt;=0,0,IF(Assumptions!$I$42/30&gt;=COLUMNS($E178:S178)-1,SUM($E92:S92)-$R92,IF(Assumptions!$I$42/30&gt;COLUMNS($S178:S178),IF(ROUNDDOWN(Assumptions!$I$42/30,0)&gt;0,SUM(OFFSET(S92,0,-(ROUNDDOWN(Assumptions!$I$42/30,0)-1+1)):S92)-$R92+OFFSET(S92,0,-(ROUNDUP(Assumptions!$I$42/30,0)-1+1))*MOD(Assumptions!$I$42,30)/30,S92*MOD(Assumptions!$I$42,30)/30),IF(ROUNDDOWN(Assumptions!$I$42/30,0)&gt;0,SUM(OFFSET(S92,0,-(ROUNDDOWN(Assumptions!$I$42/30,0)-1)):S92)+OFFSET(S92,0,-(ROUNDUP(Assumptions!$I$42/30,0)-1))*MOD(Assumptions!$I$42,30)/30,S92*MOD(Assumptions!$I$42,30)/30))))</f>
        <v>61950</v>
      </c>
      <c r="T178" s="99">
        <f ca="1">IF(Assumptions!$I$42&lt;=0,0,IF(Assumptions!$I$42/30&gt;=COLUMNS($E178:T178)-1,SUM($E92:T92)-$R92,IF(Assumptions!$I$42/30&gt;COLUMNS($S178:T178),IF(ROUNDDOWN(Assumptions!$I$42/30,0)&gt;0,SUM(OFFSET(T92,0,-(ROUNDDOWN(Assumptions!$I$42/30,0)-1+1)):T92)-$R92+OFFSET(T92,0,-(ROUNDUP(Assumptions!$I$42/30,0)-1+1))*MOD(Assumptions!$I$42,30)/30,T92*MOD(Assumptions!$I$42,30)/30),IF(ROUNDDOWN(Assumptions!$I$42/30,0)&gt;0,SUM(OFFSET(T92,0,-(ROUNDDOWN(Assumptions!$I$42/30,0)-1)):T92)+OFFSET(T92,0,-(ROUNDUP(Assumptions!$I$42/30,0)-1))*MOD(Assumptions!$I$42,30)/30,T92*MOD(Assumptions!$I$42,30)/30))))</f>
        <v>73101</v>
      </c>
      <c r="U178" s="99">
        <f ca="1">IF(Assumptions!$I$42&lt;=0,0,IF(Assumptions!$I$42/30&gt;=COLUMNS($E178:U178)-1,SUM($E92:U92)-$R92,IF(Assumptions!$I$42/30&gt;COLUMNS($S178:U178),IF(ROUNDDOWN(Assumptions!$I$42/30,0)&gt;0,SUM(OFFSET(U92,0,-(ROUNDDOWN(Assumptions!$I$42/30,0)-1+1)):U92)-$R92+OFFSET(U92,0,-(ROUNDUP(Assumptions!$I$42/30,0)-1+1))*MOD(Assumptions!$I$42,30)/30,U92*MOD(Assumptions!$I$42,30)/30),IF(ROUNDDOWN(Assumptions!$I$42/30,0)&gt;0,SUM(OFFSET(U92,0,-(ROUNDDOWN(Assumptions!$I$42/30,0)-1)):U92)+OFFSET(U92,0,-(ROUNDUP(Assumptions!$I$42/30,0)-1))*MOD(Assumptions!$I$42,30)/30,U92*MOD(Assumptions!$I$42,30)/30))))</f>
        <v>86259.074999999997</v>
      </c>
      <c r="V178" s="99">
        <f ca="1">IF(Assumptions!$I$42&lt;=0,0,IF(Assumptions!$I$42/30&gt;=COLUMNS($E178:V178)-1,SUM($E92:V92)-$R92,IF(Assumptions!$I$42/30&gt;COLUMNS($S178:V178),IF(ROUNDDOWN(Assumptions!$I$42/30,0)&gt;0,SUM(OFFSET(V92,0,-(ROUNDDOWN(Assumptions!$I$42/30,0)-1+1)):V92)-$R92+OFFSET(V92,0,-(ROUNDUP(Assumptions!$I$42/30,0)-1+1))*MOD(Assumptions!$I$42,30)/30,V92*MOD(Assumptions!$I$42,30)/30),IF(ROUNDDOWN(Assumptions!$I$42/30,0)&gt;0,SUM(OFFSET(V92,0,-(ROUNDDOWN(Assumptions!$I$42/30,0)-1)):V92)+OFFSET(V92,0,-(ROUNDUP(Assumptions!$I$42/30,0)-1))*MOD(Assumptions!$I$42,30)/30,V92*MOD(Assumptions!$I$42,30)/30))))</f>
        <v>101785.95</v>
      </c>
      <c r="W178" s="99">
        <f ca="1">IF(Assumptions!$I$42&lt;=0,0,IF(Assumptions!$I$42/30&gt;=COLUMNS($E178:W178)-1,SUM($E92:W92)-$R92,IF(Assumptions!$I$42/30&gt;COLUMNS($S178:W178),IF(ROUNDDOWN(Assumptions!$I$42/30,0)&gt;0,SUM(OFFSET(W92,0,-(ROUNDDOWN(Assumptions!$I$42/30,0)-1+1)):W92)-$R92+OFFSET(W92,0,-(ROUNDUP(Assumptions!$I$42/30,0)-1+1))*MOD(Assumptions!$I$42,30)/30,W92*MOD(Assumptions!$I$42,30)/30),IF(ROUNDDOWN(Assumptions!$I$42/30,0)&gt;0,SUM(OFFSET(W92,0,-(ROUNDDOWN(Assumptions!$I$42/30,0)-1)):W92)+OFFSET(W92,0,-(ROUNDUP(Assumptions!$I$42/30,0)-1))*MOD(Assumptions!$I$42,30)/30,W92*MOD(Assumptions!$I$42,30)/30))))</f>
        <v>120107.40000000001</v>
      </c>
      <c r="X178" s="99">
        <f ca="1">IF(Assumptions!$I$42&lt;=0,0,IF(Assumptions!$I$42/30&gt;=COLUMNS($E178:X178)-1,SUM($E92:X92)-$R92,IF(Assumptions!$I$42/30&gt;COLUMNS($S178:X178),IF(ROUNDDOWN(Assumptions!$I$42/30,0)&gt;0,SUM(OFFSET(X92,0,-(ROUNDDOWN(Assumptions!$I$42/30,0)-1+1)):X92)-$R92+OFFSET(X92,0,-(ROUNDUP(Assumptions!$I$42/30,0)-1+1))*MOD(Assumptions!$I$42,30)/30,X92*MOD(Assumptions!$I$42,30)/30),IF(ROUNDDOWN(Assumptions!$I$42/30,0)&gt;0,SUM(OFFSET(X92,0,-(ROUNDDOWN(Assumptions!$I$42/30,0)-1)):X92)+OFFSET(X92,0,-(ROUNDUP(Assumptions!$I$42/30,0)-1))*MOD(Assumptions!$I$42,30)/30,X92*MOD(Assumptions!$I$42,30)/30))))</f>
        <v>141726.9</v>
      </c>
      <c r="Y178" s="99">
        <f ca="1">IF(Assumptions!$I$42&lt;=0,0,IF(Assumptions!$I$42/30&gt;=COLUMNS($E178:Y178)-1,SUM($E92:Y92)-$R92,IF(Assumptions!$I$42/30&gt;COLUMNS($S178:Y178),IF(ROUNDDOWN(Assumptions!$I$42/30,0)&gt;0,SUM(OFFSET(Y92,0,-(ROUNDDOWN(Assumptions!$I$42/30,0)-1+1)):Y92)-$R92+OFFSET(Y92,0,-(ROUNDUP(Assumptions!$I$42/30,0)-1+1))*MOD(Assumptions!$I$42,30)/30,Y92*MOD(Assumptions!$I$42,30)/30),IF(ROUNDDOWN(Assumptions!$I$42/30,0)&gt;0,SUM(OFFSET(Y92,0,-(ROUNDDOWN(Assumptions!$I$42/30,0)-1)):Y92)+OFFSET(Y92,0,-(ROUNDUP(Assumptions!$I$42/30,0)-1))*MOD(Assumptions!$I$42,30)/30,Y92*MOD(Assumptions!$I$42,30)/30))))</f>
        <v>167237.70000000001</v>
      </c>
      <c r="Z178" s="99">
        <f ca="1">IF(Assumptions!$I$42&lt;=0,0,IF(Assumptions!$I$42/30&gt;=COLUMNS($E178:Z178)-1,SUM($E92:Z92)-$R92,IF(Assumptions!$I$42/30&gt;COLUMNS($S178:Z178),IF(ROUNDDOWN(Assumptions!$I$42/30,0)&gt;0,SUM(OFFSET(Z92,0,-(ROUNDDOWN(Assumptions!$I$42/30,0)-1+1)):Z92)-$R92+OFFSET(Z92,0,-(ROUNDUP(Assumptions!$I$42/30,0)-1+1))*MOD(Assumptions!$I$42,30)/30,Z92*MOD(Assumptions!$I$42,30)/30),IF(ROUNDDOWN(Assumptions!$I$42/30,0)&gt;0,SUM(OFFSET(Z92,0,-(ROUNDDOWN(Assumptions!$I$42/30,0)-1)):Z92)+OFFSET(Z92,0,-(ROUNDUP(Assumptions!$I$42/30,0)-1))*MOD(Assumptions!$I$42,30)/30,Z92*MOD(Assumptions!$I$42,30)/30))))</f>
        <v>197340.67500000002</v>
      </c>
      <c r="AA178" s="99">
        <f ca="1">IF(Assumptions!$I$42&lt;=0,0,IF(Assumptions!$I$42/30&gt;=COLUMNS($E178:AA178)-1,SUM($E92:AA92)-$R92,IF(Assumptions!$I$42/30&gt;COLUMNS($S178:AA178),IF(ROUNDDOWN(Assumptions!$I$42/30,0)&gt;0,SUM(OFFSET(AA92,0,-(ROUNDDOWN(Assumptions!$I$42/30,0)-1+1)):AA92)-$R92+OFFSET(AA92,0,-(ROUNDUP(Assumptions!$I$42/30,0)-1+1))*MOD(Assumptions!$I$42,30)/30,AA92*MOD(Assumptions!$I$42,30)/30),IF(ROUNDDOWN(Assumptions!$I$42/30,0)&gt;0,SUM(OFFSET(AA92,0,-(ROUNDDOWN(Assumptions!$I$42/30,0)-1)):AA92)+OFFSET(AA92,0,-(ROUNDUP(Assumptions!$I$42/30,0)-1))*MOD(Assumptions!$I$42,30)/30,AA92*MOD(Assumptions!$I$42,30)/30))))</f>
        <v>232862.17500000002</v>
      </c>
      <c r="AB178" s="99">
        <f ca="1">IF(Assumptions!$I$42&lt;=0,0,IF(Assumptions!$I$42/30&gt;=COLUMNS($E178:AB178)-1,SUM($E92:AB92)-$R92,IF(Assumptions!$I$42/30&gt;COLUMNS($S178:AB178),IF(ROUNDDOWN(Assumptions!$I$42/30,0)&gt;0,SUM(OFFSET(AB92,0,-(ROUNDDOWN(Assumptions!$I$42/30,0)-1+1)):AB92)-$R92+OFFSET(AB92,0,-(ROUNDUP(Assumptions!$I$42/30,0)-1+1))*MOD(Assumptions!$I$42,30)/30,AB92*MOD(Assumptions!$I$42,30)/30),IF(ROUNDDOWN(Assumptions!$I$42/30,0)&gt;0,SUM(OFFSET(AB92,0,-(ROUNDDOWN(Assumptions!$I$42/30,0)-1)):AB92)+OFFSET(AB92,0,-(ROUNDUP(Assumptions!$I$42/30,0)-1))*MOD(Assumptions!$I$42,30)/30,AB92*MOD(Assumptions!$I$42,30)/30))))</f>
        <v>274777.125</v>
      </c>
      <c r="AC178" s="99">
        <f ca="1">IF(Assumptions!$I$42&lt;=0,0,IF(Assumptions!$I$42/30&gt;=COLUMNS($E178:AC178)-1,SUM($E92:AC92)-$R92,IF(Assumptions!$I$42/30&gt;COLUMNS($S178:AC178),IF(ROUNDDOWN(Assumptions!$I$42/30,0)&gt;0,SUM(OFFSET(AC92,0,-(ROUNDDOWN(Assumptions!$I$42/30,0)-1+1)):AC92)-$R92+OFFSET(AC92,0,-(ROUNDUP(Assumptions!$I$42/30,0)-1+1))*MOD(Assumptions!$I$42,30)/30,AC92*MOD(Assumptions!$I$42,30)/30),IF(ROUNDDOWN(Assumptions!$I$42/30,0)&gt;0,SUM(OFFSET(AC92,0,-(ROUNDDOWN(Assumptions!$I$42/30,0)-1)):AC92)+OFFSET(AC92,0,-(ROUNDUP(Assumptions!$I$42/30,0)-1))*MOD(Assumptions!$I$42,30)/30,AC92*MOD(Assumptions!$I$42,30)/30))))</f>
        <v>324236.85000000003</v>
      </c>
      <c r="AD178" s="99">
        <f ca="1">IF(Assumptions!$I$42&lt;=0,0,IF(Assumptions!$I$42/30&gt;=COLUMNS($E178:AD178)-1,SUM($E92:AD92)-$R92,IF(Assumptions!$I$42/30&gt;COLUMNS($S178:AD178),IF(ROUNDDOWN(Assumptions!$I$42/30,0)&gt;0,SUM(OFFSET(AD92,0,-(ROUNDDOWN(Assumptions!$I$42/30,0)-1+1)):AD92)-$R92+OFFSET(AD92,0,-(ROUNDUP(Assumptions!$I$42/30,0)-1+1))*MOD(Assumptions!$I$42,30)/30,AD92*MOD(Assumptions!$I$42,30)/30),IF(ROUNDDOWN(Assumptions!$I$42/30,0)&gt;0,SUM(OFFSET(AD92,0,-(ROUNDDOWN(Assumptions!$I$42/30,0)-1)):AD92)+OFFSET(AD92,0,-(ROUNDUP(Assumptions!$I$42/30,0)-1))*MOD(Assumptions!$I$42,30)/30,AD92*MOD(Assumptions!$I$42,30)/30))))</f>
        <v>382599.52500000002</v>
      </c>
      <c r="AE178" s="100">
        <f ca="1">AD178</f>
        <v>382599.52500000002</v>
      </c>
      <c r="AF178" s="100">
        <f>IF(Assumptions!$I$42=0,0,AF92/(360/Assumptions!$I$42))</f>
        <v>441148.3125</v>
      </c>
      <c r="AG178" s="100">
        <f>IF(Assumptions!$I$42=0,0,AG92/(360/Assumptions!$I$42))</f>
        <v>639731.26875000005</v>
      </c>
      <c r="AH178" s="100">
        <f>IF(Assumptions!$I$42=0,0,AH92/(360/Assumptions!$I$42))</f>
        <v>849582.43125000002</v>
      </c>
      <c r="AI178" s="304" t="s">
        <v>321</v>
      </c>
    </row>
    <row r="179" spans="1:37">
      <c r="A179" s="96"/>
      <c r="B179" s="97" t="str">
        <f>"Allow for Doubtful Accts ("&amp;$C141*100&amp;"%)"</f>
        <v>Allow for Doubtful Accts (2%)</v>
      </c>
      <c r="C179" s="99"/>
      <c r="D179" s="99"/>
      <c r="E179" s="70">
        <f>$C141*E178</f>
        <v>0</v>
      </c>
      <c r="F179" s="99">
        <f ca="1">$C141*F178</f>
        <v>0</v>
      </c>
      <c r="G179" s="99">
        <f t="shared" ref="G179:Q179" ca="1" si="247">$C141*G178</f>
        <v>0</v>
      </c>
      <c r="H179" s="99">
        <f t="shared" ca="1" si="247"/>
        <v>0</v>
      </c>
      <c r="I179" s="99">
        <f t="shared" ca="1" si="247"/>
        <v>52.5</v>
      </c>
      <c r="J179" s="99">
        <f t="shared" ca="1" si="247"/>
        <v>78.75</v>
      </c>
      <c r="K179" s="99">
        <f t="shared" ca="1" si="247"/>
        <v>105</v>
      </c>
      <c r="L179" s="99">
        <f t="shared" ca="1" si="247"/>
        <v>131.25</v>
      </c>
      <c r="M179" s="99">
        <f t="shared" ca="1" si="247"/>
        <v>420</v>
      </c>
      <c r="N179" s="99">
        <f t="shared" ca="1" si="247"/>
        <v>446.25</v>
      </c>
      <c r="O179" s="99">
        <f t="shared" ca="1" si="247"/>
        <v>472.5</v>
      </c>
      <c r="P179" s="99">
        <f t="shared" ca="1" si="247"/>
        <v>945</v>
      </c>
      <c r="Q179" s="99">
        <f t="shared" ca="1" si="247"/>
        <v>1050</v>
      </c>
      <c r="R179" s="100">
        <f ca="1">Q179</f>
        <v>1050</v>
      </c>
      <c r="S179" s="99">
        <f t="shared" ref="S179:AD179" ca="1" si="248">$C141*S178</f>
        <v>1239</v>
      </c>
      <c r="T179" s="99">
        <f t="shared" ca="1" si="248"/>
        <v>1462.02</v>
      </c>
      <c r="U179" s="99">
        <f t="shared" ca="1" si="248"/>
        <v>1725.1814999999999</v>
      </c>
      <c r="V179" s="99">
        <f t="shared" ca="1" si="248"/>
        <v>2035.7190000000001</v>
      </c>
      <c r="W179" s="99">
        <f t="shared" ca="1" si="248"/>
        <v>2402.1480000000001</v>
      </c>
      <c r="X179" s="99">
        <f t="shared" ca="1" si="248"/>
        <v>2834.538</v>
      </c>
      <c r="Y179" s="99">
        <f t="shared" ca="1" si="248"/>
        <v>3344.7540000000004</v>
      </c>
      <c r="Z179" s="99">
        <f t="shared" ca="1" si="248"/>
        <v>3946.8135000000007</v>
      </c>
      <c r="AA179" s="99">
        <f t="shared" ca="1" si="248"/>
        <v>4657.2435000000005</v>
      </c>
      <c r="AB179" s="99">
        <f t="shared" ca="1" si="248"/>
        <v>5495.5425000000005</v>
      </c>
      <c r="AC179" s="99">
        <f t="shared" ca="1" si="248"/>
        <v>6484.737000000001</v>
      </c>
      <c r="AD179" s="99">
        <f t="shared" ca="1" si="248"/>
        <v>7651.9905000000008</v>
      </c>
      <c r="AE179" s="100">
        <f ca="1">AD179</f>
        <v>7651.9905000000008</v>
      </c>
      <c r="AF179" s="100">
        <f>$C141*AF178</f>
        <v>8822.9662499999995</v>
      </c>
      <c r="AG179" s="100">
        <f>$C141*AG178</f>
        <v>12794.625375000001</v>
      </c>
      <c r="AH179" s="100">
        <f>$C141*AH178</f>
        <v>16991.648625000002</v>
      </c>
      <c r="AI179" s="304" t="s">
        <v>321</v>
      </c>
    </row>
    <row r="180" spans="1:37">
      <c r="A180" s="96"/>
      <c r="B180" s="97" t="s">
        <v>215</v>
      </c>
      <c r="C180" s="98"/>
      <c r="D180" s="98"/>
      <c r="E180" s="99">
        <f t="shared" ref="E180:Q180" si="249">E178-E179</f>
        <v>0</v>
      </c>
      <c r="F180" s="99">
        <f ca="1">F178-F179</f>
        <v>0</v>
      </c>
      <c r="G180" s="99">
        <f t="shared" ca="1" si="249"/>
        <v>0</v>
      </c>
      <c r="H180" s="99">
        <f t="shared" ca="1" si="249"/>
        <v>0</v>
      </c>
      <c r="I180" s="99">
        <f t="shared" ca="1" si="249"/>
        <v>2572.5</v>
      </c>
      <c r="J180" s="99">
        <f t="shared" ca="1" si="249"/>
        <v>3858.75</v>
      </c>
      <c r="K180" s="99">
        <f t="shared" ca="1" si="249"/>
        <v>5145</v>
      </c>
      <c r="L180" s="99">
        <f t="shared" ca="1" si="249"/>
        <v>6431.25</v>
      </c>
      <c r="M180" s="99">
        <f t="shared" ca="1" si="249"/>
        <v>20580</v>
      </c>
      <c r="N180" s="99">
        <f t="shared" ca="1" si="249"/>
        <v>21866.25</v>
      </c>
      <c r="O180" s="99">
        <f t="shared" ca="1" si="249"/>
        <v>23152.5</v>
      </c>
      <c r="P180" s="99">
        <f t="shared" ca="1" si="249"/>
        <v>46305</v>
      </c>
      <c r="Q180" s="99">
        <f t="shared" ca="1" si="249"/>
        <v>51450</v>
      </c>
      <c r="R180" s="100">
        <f ca="1">Q180</f>
        <v>51450</v>
      </c>
      <c r="S180" s="99">
        <f t="shared" ref="S180:AD180" ca="1" si="250">S178-S179</f>
        <v>60711</v>
      </c>
      <c r="T180" s="99">
        <f t="shared" ca="1" si="250"/>
        <v>71638.98</v>
      </c>
      <c r="U180" s="99">
        <f t="shared" ca="1" si="250"/>
        <v>84533.893499999991</v>
      </c>
      <c r="V180" s="99">
        <f t="shared" ca="1" si="250"/>
        <v>99750.231</v>
      </c>
      <c r="W180" s="99">
        <f t="shared" ca="1" si="250"/>
        <v>117705.25200000001</v>
      </c>
      <c r="X180" s="99">
        <f t="shared" ca="1" si="250"/>
        <v>138892.36199999999</v>
      </c>
      <c r="Y180" s="99">
        <f t="shared" ca="1" si="250"/>
        <v>163892.94600000003</v>
      </c>
      <c r="Z180" s="99">
        <f t="shared" ca="1" si="250"/>
        <v>193393.86150000003</v>
      </c>
      <c r="AA180" s="99">
        <f t="shared" ca="1" si="250"/>
        <v>228204.93150000001</v>
      </c>
      <c r="AB180" s="99">
        <f t="shared" ca="1" si="250"/>
        <v>269281.58250000002</v>
      </c>
      <c r="AC180" s="99">
        <f t="shared" ca="1" si="250"/>
        <v>317752.11300000001</v>
      </c>
      <c r="AD180" s="99">
        <f t="shared" ca="1" si="250"/>
        <v>374947.53450000001</v>
      </c>
      <c r="AE180" s="100">
        <f ca="1">AD180</f>
        <v>374947.53450000001</v>
      </c>
      <c r="AF180" s="100">
        <f>AF178-AF179</f>
        <v>432325.34625</v>
      </c>
      <c r="AG180" s="100">
        <f>AG178-AG179</f>
        <v>626936.6433750001</v>
      </c>
      <c r="AH180" s="100">
        <f>AH178-AH179</f>
        <v>832590.78262499999</v>
      </c>
      <c r="AI180" s="304" t="s">
        <v>321</v>
      </c>
    </row>
    <row r="181" spans="1:37">
      <c r="A181" s="83" t="s">
        <v>216</v>
      </c>
      <c r="B181" s="102"/>
      <c r="C181" s="85"/>
      <c r="D181" s="85"/>
      <c r="E181" s="85">
        <f>E177+E180</f>
        <v>100000</v>
      </c>
      <c r="F181" s="103">
        <f ca="1">F177+F180</f>
        <v>92695.833333333328</v>
      </c>
      <c r="G181" s="103">
        <f t="shared" ref="G181:Q181" ca="1" si="251">G177+G180</f>
        <v>85261.666666666657</v>
      </c>
      <c r="H181" s="103">
        <f t="shared" ca="1" si="251"/>
        <v>67827.5</v>
      </c>
      <c r="I181" s="103">
        <f t="shared" ca="1" si="251"/>
        <v>200433.33333333334</v>
      </c>
      <c r="J181" s="103">
        <f t="shared" ca="1" si="251"/>
        <v>192690.99666666667</v>
      </c>
      <c r="K181" s="103">
        <f ca="1">K177+K180</f>
        <v>166947.06999999998</v>
      </c>
      <c r="L181" s="103">
        <f t="shared" ca="1" si="251"/>
        <v>135379.0633333333</v>
      </c>
      <c r="M181" s="103">
        <f t="shared" ca="1" si="251"/>
        <v>125096.96666666665</v>
      </c>
      <c r="N181" s="103">
        <f t="shared" ca="1" si="251"/>
        <v>101559.93</v>
      </c>
      <c r="O181" s="103">
        <f t="shared" ca="1" si="251"/>
        <v>79108.813333333354</v>
      </c>
      <c r="P181" s="103">
        <f t="shared" ca="1" si="251"/>
        <v>90583.606666666674</v>
      </c>
      <c r="Q181" s="103">
        <f t="shared" ca="1" si="251"/>
        <v>66324.860000000015</v>
      </c>
      <c r="R181" s="104">
        <f ca="1">Q181</f>
        <v>66324.860000000015</v>
      </c>
      <c r="S181" s="103">
        <f ca="1">S177+S180</f>
        <v>851936.27333333343</v>
      </c>
      <c r="T181" s="103">
        <f t="shared" ref="T181:AD181" ca="1" si="252">T177+T180</f>
        <v>790545.53</v>
      </c>
      <c r="U181" s="103">
        <f t="shared" ca="1" si="252"/>
        <v>698367.63399999996</v>
      </c>
      <c r="V181" s="103">
        <f t="shared" ca="1" si="252"/>
        <v>632260.00133333344</v>
      </c>
      <c r="W181" s="103">
        <f t="shared" ca="1" si="252"/>
        <v>611431.51266666665</v>
      </c>
      <c r="X181" s="103">
        <f t="shared" ca="1" si="252"/>
        <v>608631.81400000025</v>
      </c>
      <c r="Y181" s="103">
        <f t="shared" ca="1" si="252"/>
        <v>627105.72133333341</v>
      </c>
      <c r="Z181" s="103">
        <f t="shared" ca="1" si="252"/>
        <v>653959.77066666679</v>
      </c>
      <c r="AA181" s="103">
        <f t="shared" ca="1" si="252"/>
        <v>733346.0700000003</v>
      </c>
      <c r="AB181" s="103">
        <f t="shared" ca="1" si="252"/>
        <v>848798.95333333348</v>
      </c>
      <c r="AC181" s="103">
        <f t="shared" ca="1" si="252"/>
        <v>1026882.878666667</v>
      </c>
      <c r="AD181" s="103">
        <f t="shared" ca="1" si="252"/>
        <v>1226377.1700000004</v>
      </c>
      <c r="AE181" s="104">
        <f ca="1">AD181</f>
        <v>1226377.1700000004</v>
      </c>
      <c r="AF181" s="104">
        <f ca="1">AF177+AF180</f>
        <v>2749627.9217500002</v>
      </c>
      <c r="AG181" s="104">
        <f ca="1">AG177+AG180</f>
        <v>5153203.3756166669</v>
      </c>
      <c r="AH181" s="104">
        <f ca="1">AH177+AH180</f>
        <v>7972496.7664999999</v>
      </c>
      <c r="AI181" s="304" t="s">
        <v>321</v>
      </c>
    </row>
    <row r="182" spans="1:37">
      <c r="A182" s="96"/>
      <c r="B182" s="97"/>
      <c r="C182" s="98"/>
      <c r="D182" s="98"/>
      <c r="E182" s="98"/>
      <c r="F182" s="99"/>
      <c r="G182" s="99"/>
      <c r="H182" s="99"/>
      <c r="I182" s="99"/>
      <c r="J182" s="99"/>
      <c r="K182" s="99"/>
      <c r="L182" s="99"/>
      <c r="M182" s="99"/>
      <c r="N182" s="99"/>
      <c r="O182" s="99"/>
      <c r="P182" s="99"/>
      <c r="Q182" s="99"/>
      <c r="R182" s="100"/>
      <c r="S182" s="99"/>
      <c r="T182" s="99"/>
      <c r="U182" s="99"/>
      <c r="V182" s="99"/>
      <c r="W182" s="99"/>
      <c r="X182" s="99"/>
      <c r="Y182" s="99"/>
      <c r="Z182" s="99"/>
      <c r="AA182" s="99"/>
      <c r="AB182" s="99"/>
      <c r="AC182" s="99"/>
      <c r="AD182" s="99"/>
      <c r="AE182" s="100"/>
      <c r="AF182" s="100"/>
      <c r="AG182" s="100"/>
      <c r="AH182" s="100"/>
      <c r="AI182" s="304" t="s">
        <v>321</v>
      </c>
    </row>
    <row r="183" spans="1:37">
      <c r="A183" s="96" t="s">
        <v>182</v>
      </c>
      <c r="B183" s="97"/>
      <c r="C183" s="98"/>
      <c r="D183" s="98"/>
      <c r="E183" s="98"/>
      <c r="F183" s="99"/>
      <c r="G183" s="99"/>
      <c r="H183" s="99"/>
      <c r="I183" s="99"/>
      <c r="J183" s="99"/>
      <c r="K183" s="99"/>
      <c r="L183" s="99"/>
      <c r="M183" s="99"/>
      <c r="N183" s="99"/>
      <c r="O183" s="99"/>
      <c r="P183" s="99"/>
      <c r="Q183" s="99"/>
      <c r="R183" s="100"/>
      <c r="S183" s="99"/>
      <c r="T183" s="99"/>
      <c r="U183" s="99"/>
      <c r="V183" s="99"/>
      <c r="W183" s="99"/>
      <c r="X183" s="99"/>
      <c r="Y183" s="99"/>
      <c r="Z183" s="99"/>
      <c r="AA183" s="99"/>
      <c r="AB183" s="99"/>
      <c r="AC183" s="99"/>
      <c r="AD183" s="99"/>
      <c r="AE183" s="100"/>
      <c r="AF183" s="100"/>
      <c r="AG183" s="100"/>
      <c r="AH183" s="100"/>
      <c r="AI183" s="304" t="s">
        <v>321</v>
      </c>
    </row>
    <row r="184" spans="1:37">
      <c r="A184" s="96"/>
      <c r="B184" s="97" t="s">
        <v>217</v>
      </c>
      <c r="C184" s="98"/>
      <c r="D184" s="98"/>
      <c r="E184" s="98"/>
      <c r="F184" s="99">
        <f t="shared" ref="F184:Q184" si="253">F334+F341+F348+E184</f>
        <v>2000</v>
      </c>
      <c r="G184" s="99">
        <f t="shared" si="253"/>
        <v>2000</v>
      </c>
      <c r="H184" s="99">
        <f t="shared" si="253"/>
        <v>2000</v>
      </c>
      <c r="I184" s="99">
        <f t="shared" si="253"/>
        <v>2000</v>
      </c>
      <c r="J184" s="99">
        <f t="shared" si="253"/>
        <v>2000</v>
      </c>
      <c r="K184" s="99">
        <f t="shared" si="253"/>
        <v>3750</v>
      </c>
      <c r="L184" s="99">
        <f t="shared" si="253"/>
        <v>3750</v>
      </c>
      <c r="M184" s="99">
        <f t="shared" si="253"/>
        <v>3750</v>
      </c>
      <c r="N184" s="99">
        <f t="shared" si="253"/>
        <v>3750</v>
      </c>
      <c r="O184" s="99">
        <f t="shared" si="253"/>
        <v>3750</v>
      </c>
      <c r="P184" s="99">
        <f t="shared" si="253"/>
        <v>3750</v>
      </c>
      <c r="Q184" s="99">
        <f t="shared" si="253"/>
        <v>3750</v>
      </c>
      <c r="R184" s="100">
        <f>Q184</f>
        <v>3750</v>
      </c>
      <c r="S184" s="99">
        <f t="shared" ref="S184:AD184" si="254">S334+S341+S348+R184</f>
        <v>7500</v>
      </c>
      <c r="T184" s="99">
        <f t="shared" si="254"/>
        <v>10000</v>
      </c>
      <c r="U184" s="99">
        <f t="shared" si="254"/>
        <v>12500</v>
      </c>
      <c r="V184" s="99">
        <f t="shared" si="254"/>
        <v>12500</v>
      </c>
      <c r="W184" s="99">
        <f t="shared" si="254"/>
        <v>12500</v>
      </c>
      <c r="X184" s="99">
        <f t="shared" si="254"/>
        <v>12500</v>
      </c>
      <c r="Y184" s="99">
        <f t="shared" si="254"/>
        <v>12500</v>
      </c>
      <c r="Z184" s="99">
        <f t="shared" si="254"/>
        <v>12500</v>
      </c>
      <c r="AA184" s="99">
        <f t="shared" si="254"/>
        <v>12500</v>
      </c>
      <c r="AB184" s="99">
        <f t="shared" si="254"/>
        <v>12500</v>
      </c>
      <c r="AC184" s="99">
        <f t="shared" si="254"/>
        <v>12500</v>
      </c>
      <c r="AD184" s="99">
        <f t="shared" si="254"/>
        <v>12500</v>
      </c>
      <c r="AE184" s="100">
        <f>AD184</f>
        <v>12500</v>
      </c>
      <c r="AF184" s="100">
        <f t="shared" ref="AF184:AH186" si="255">AF334+AF341+AF348+AE184</f>
        <v>18000</v>
      </c>
      <c r="AG184" s="100">
        <f t="shared" si="255"/>
        <v>27000</v>
      </c>
      <c r="AH184" s="100">
        <f t="shared" si="255"/>
        <v>32000</v>
      </c>
      <c r="AI184" s="304" t="s">
        <v>321</v>
      </c>
    </row>
    <row r="185" spans="1:37">
      <c r="A185" s="96"/>
      <c r="B185" s="97" t="s">
        <v>218</v>
      </c>
      <c r="C185" s="98"/>
      <c r="D185" s="98"/>
      <c r="E185" s="98"/>
      <c r="F185" s="99">
        <f t="shared" ref="F185:Q185" si="256">F335+F342+F349+E185</f>
        <v>400</v>
      </c>
      <c r="G185" s="99">
        <f t="shared" si="256"/>
        <v>400</v>
      </c>
      <c r="H185" s="99">
        <f t="shared" si="256"/>
        <v>400</v>
      </c>
      <c r="I185" s="99">
        <f t="shared" si="256"/>
        <v>400</v>
      </c>
      <c r="J185" s="99">
        <f t="shared" si="256"/>
        <v>400</v>
      </c>
      <c r="K185" s="99">
        <f t="shared" si="256"/>
        <v>700</v>
      </c>
      <c r="L185" s="99">
        <f t="shared" si="256"/>
        <v>700</v>
      </c>
      <c r="M185" s="99">
        <f t="shared" si="256"/>
        <v>700</v>
      </c>
      <c r="N185" s="99">
        <f t="shared" si="256"/>
        <v>700</v>
      </c>
      <c r="O185" s="99">
        <f t="shared" si="256"/>
        <v>700</v>
      </c>
      <c r="P185" s="99">
        <f t="shared" si="256"/>
        <v>700</v>
      </c>
      <c r="Q185" s="99">
        <f t="shared" si="256"/>
        <v>700</v>
      </c>
      <c r="R185" s="100">
        <f>Q185</f>
        <v>700</v>
      </c>
      <c r="S185" s="99">
        <f t="shared" ref="S185:AD185" si="257">S335+S342+S349+R185</f>
        <v>1400</v>
      </c>
      <c r="T185" s="99">
        <f t="shared" si="257"/>
        <v>1600</v>
      </c>
      <c r="U185" s="99">
        <f t="shared" si="257"/>
        <v>1800</v>
      </c>
      <c r="V185" s="99">
        <f t="shared" si="257"/>
        <v>1800</v>
      </c>
      <c r="W185" s="99">
        <f t="shared" si="257"/>
        <v>1800</v>
      </c>
      <c r="X185" s="99">
        <f t="shared" si="257"/>
        <v>1800</v>
      </c>
      <c r="Y185" s="99">
        <f t="shared" si="257"/>
        <v>1800</v>
      </c>
      <c r="Z185" s="99">
        <f t="shared" si="257"/>
        <v>1800</v>
      </c>
      <c r="AA185" s="99">
        <f t="shared" si="257"/>
        <v>1800</v>
      </c>
      <c r="AB185" s="99">
        <f t="shared" si="257"/>
        <v>1800</v>
      </c>
      <c r="AC185" s="99">
        <f t="shared" si="257"/>
        <v>1800</v>
      </c>
      <c r="AD185" s="99">
        <f t="shared" si="257"/>
        <v>1800</v>
      </c>
      <c r="AE185" s="100">
        <f>AD185</f>
        <v>1800</v>
      </c>
      <c r="AF185" s="100">
        <f t="shared" si="255"/>
        <v>2400</v>
      </c>
      <c r="AG185" s="100">
        <f t="shared" si="255"/>
        <v>3600</v>
      </c>
      <c r="AH185" s="100">
        <f t="shared" si="255"/>
        <v>4000</v>
      </c>
      <c r="AI185" s="304" t="s">
        <v>321</v>
      </c>
    </row>
    <row r="186" spans="1:37">
      <c r="A186" s="96"/>
      <c r="B186" s="97" t="s">
        <v>219</v>
      </c>
      <c r="C186" s="98"/>
      <c r="D186" s="98"/>
      <c r="E186" s="98"/>
      <c r="F186" s="99">
        <f t="shared" ref="F186:Q186" si="258">F336+F343+F350+E186</f>
        <v>500</v>
      </c>
      <c r="G186" s="99">
        <f t="shared" si="258"/>
        <v>500</v>
      </c>
      <c r="H186" s="99">
        <f t="shared" si="258"/>
        <v>500</v>
      </c>
      <c r="I186" s="99">
        <f t="shared" si="258"/>
        <v>500</v>
      </c>
      <c r="J186" s="99">
        <f t="shared" si="258"/>
        <v>500</v>
      </c>
      <c r="K186" s="99">
        <f t="shared" si="258"/>
        <v>875</v>
      </c>
      <c r="L186" s="99">
        <f t="shared" si="258"/>
        <v>875</v>
      </c>
      <c r="M186" s="99">
        <f t="shared" si="258"/>
        <v>875</v>
      </c>
      <c r="N186" s="99">
        <f t="shared" si="258"/>
        <v>875</v>
      </c>
      <c r="O186" s="99">
        <f t="shared" si="258"/>
        <v>875</v>
      </c>
      <c r="P186" s="99">
        <f t="shared" si="258"/>
        <v>875</v>
      </c>
      <c r="Q186" s="99">
        <f t="shared" si="258"/>
        <v>875</v>
      </c>
      <c r="R186" s="100">
        <f>Q186</f>
        <v>875</v>
      </c>
      <c r="S186" s="99">
        <f t="shared" ref="S186:AD186" si="259">S336+S343+S350+R186</f>
        <v>1750</v>
      </c>
      <c r="T186" s="99">
        <f t="shared" si="259"/>
        <v>2000</v>
      </c>
      <c r="U186" s="99">
        <f t="shared" si="259"/>
        <v>2250</v>
      </c>
      <c r="V186" s="99">
        <f t="shared" si="259"/>
        <v>2250</v>
      </c>
      <c r="W186" s="99">
        <f t="shared" si="259"/>
        <v>2250</v>
      </c>
      <c r="X186" s="99">
        <f t="shared" si="259"/>
        <v>2250</v>
      </c>
      <c r="Y186" s="99">
        <f t="shared" si="259"/>
        <v>2250</v>
      </c>
      <c r="Z186" s="99">
        <f t="shared" si="259"/>
        <v>2250</v>
      </c>
      <c r="AA186" s="99">
        <f t="shared" si="259"/>
        <v>2250</v>
      </c>
      <c r="AB186" s="99">
        <f t="shared" si="259"/>
        <v>2250</v>
      </c>
      <c r="AC186" s="99">
        <f t="shared" si="259"/>
        <v>2250</v>
      </c>
      <c r="AD186" s="99">
        <f t="shared" si="259"/>
        <v>2250</v>
      </c>
      <c r="AE186" s="100">
        <f>AD186</f>
        <v>2250</v>
      </c>
      <c r="AF186" s="100">
        <f t="shared" si="255"/>
        <v>3000</v>
      </c>
      <c r="AG186" s="100">
        <f t="shared" si="255"/>
        <v>4500</v>
      </c>
      <c r="AH186" s="100">
        <f t="shared" si="255"/>
        <v>5000</v>
      </c>
      <c r="AI186" s="304" t="s">
        <v>321</v>
      </c>
    </row>
    <row r="187" spans="1:37">
      <c r="A187" s="83" t="s">
        <v>220</v>
      </c>
      <c r="B187" s="102"/>
      <c r="C187" s="85"/>
      <c r="D187" s="85"/>
      <c r="E187" s="140">
        <v>0</v>
      </c>
      <c r="F187" s="103">
        <f t="shared" ref="F187:Q187" si="260">SUM(F184:F186)</f>
        <v>2900</v>
      </c>
      <c r="G187" s="103">
        <f t="shared" si="260"/>
        <v>2900</v>
      </c>
      <c r="H187" s="103">
        <f t="shared" si="260"/>
        <v>2900</v>
      </c>
      <c r="I187" s="103">
        <f t="shared" si="260"/>
        <v>2900</v>
      </c>
      <c r="J187" s="103">
        <f t="shared" si="260"/>
        <v>2900</v>
      </c>
      <c r="K187" s="103">
        <f>SUM(K184:K186)</f>
        <v>5325</v>
      </c>
      <c r="L187" s="103">
        <f t="shared" si="260"/>
        <v>5325</v>
      </c>
      <c r="M187" s="103">
        <f t="shared" si="260"/>
        <v>5325</v>
      </c>
      <c r="N187" s="103">
        <f t="shared" si="260"/>
        <v>5325</v>
      </c>
      <c r="O187" s="103">
        <f t="shared" si="260"/>
        <v>5325</v>
      </c>
      <c r="P187" s="103">
        <f t="shared" si="260"/>
        <v>5325</v>
      </c>
      <c r="Q187" s="103">
        <f t="shared" si="260"/>
        <v>5325</v>
      </c>
      <c r="R187" s="104">
        <f>Q187</f>
        <v>5325</v>
      </c>
      <c r="S187" s="103">
        <f t="shared" ref="S187:AD187" si="261">SUM(S184:S186)</f>
        <v>10650</v>
      </c>
      <c r="T187" s="103">
        <f t="shared" si="261"/>
        <v>13600</v>
      </c>
      <c r="U187" s="103">
        <f t="shared" si="261"/>
        <v>16550</v>
      </c>
      <c r="V187" s="103">
        <f t="shared" si="261"/>
        <v>16550</v>
      </c>
      <c r="W187" s="103">
        <f t="shared" si="261"/>
        <v>16550</v>
      </c>
      <c r="X187" s="103">
        <f t="shared" si="261"/>
        <v>16550</v>
      </c>
      <c r="Y187" s="103">
        <f t="shared" si="261"/>
        <v>16550</v>
      </c>
      <c r="Z187" s="103">
        <f t="shared" si="261"/>
        <v>16550</v>
      </c>
      <c r="AA187" s="103">
        <f t="shared" si="261"/>
        <v>16550</v>
      </c>
      <c r="AB187" s="103">
        <f t="shared" si="261"/>
        <v>16550</v>
      </c>
      <c r="AC187" s="103">
        <f t="shared" si="261"/>
        <v>16550</v>
      </c>
      <c r="AD187" s="103">
        <f t="shared" si="261"/>
        <v>16550</v>
      </c>
      <c r="AE187" s="104">
        <f>AD187</f>
        <v>16550</v>
      </c>
      <c r="AF187" s="104">
        <f>SUM(AF184:AF186)</f>
        <v>23400</v>
      </c>
      <c r="AG187" s="104">
        <f>SUM(AG184:AG186)</f>
        <v>35100</v>
      </c>
      <c r="AH187" s="104">
        <f>SUM(AH184:AH186)</f>
        <v>41000</v>
      </c>
      <c r="AI187" s="304" t="s">
        <v>321</v>
      </c>
    </row>
    <row r="188" spans="1:37">
      <c r="A188" s="96"/>
      <c r="B188" s="97"/>
      <c r="C188" s="98"/>
      <c r="D188" s="98"/>
      <c r="E188" s="98"/>
      <c r="F188" s="99"/>
      <c r="G188" s="99"/>
      <c r="H188" s="99"/>
      <c r="I188" s="99"/>
      <c r="J188" s="99"/>
      <c r="K188" s="99"/>
      <c r="L188" s="99"/>
      <c r="M188" s="99"/>
      <c r="N188" s="99"/>
      <c r="O188" s="99"/>
      <c r="P188" s="99"/>
      <c r="Q188" s="99"/>
      <c r="R188" s="100"/>
      <c r="S188" s="99"/>
      <c r="T188" s="99"/>
      <c r="U188" s="99"/>
      <c r="V188" s="99"/>
      <c r="W188" s="99"/>
      <c r="X188" s="99"/>
      <c r="Y188" s="99"/>
      <c r="Z188" s="99"/>
      <c r="AA188" s="99"/>
      <c r="AB188" s="99"/>
      <c r="AC188" s="99"/>
      <c r="AD188" s="99"/>
      <c r="AE188" s="100"/>
      <c r="AF188" s="100"/>
      <c r="AG188" s="100"/>
      <c r="AH188" s="100"/>
      <c r="AI188" s="304" t="s">
        <v>321</v>
      </c>
    </row>
    <row r="189" spans="1:37">
      <c r="A189" s="96" t="s">
        <v>221</v>
      </c>
      <c r="B189" s="97"/>
      <c r="C189" s="98"/>
      <c r="D189" s="98"/>
      <c r="E189" s="98"/>
      <c r="F189" s="99"/>
      <c r="G189" s="99"/>
      <c r="H189" s="99"/>
      <c r="I189" s="99"/>
      <c r="J189" s="99"/>
      <c r="K189" s="99"/>
      <c r="L189" s="99"/>
      <c r="M189" s="99"/>
      <c r="N189" s="99"/>
      <c r="O189" s="99"/>
      <c r="P189" s="99"/>
      <c r="Q189" s="99"/>
      <c r="R189" s="100"/>
      <c r="S189" s="99"/>
      <c r="T189" s="99"/>
      <c r="U189" s="99"/>
      <c r="V189" s="99"/>
      <c r="W189" s="99"/>
      <c r="X189" s="99"/>
      <c r="Y189" s="99"/>
      <c r="Z189" s="99"/>
      <c r="AA189" s="99"/>
      <c r="AB189" s="99"/>
      <c r="AC189" s="99"/>
      <c r="AD189" s="99"/>
      <c r="AE189" s="100"/>
      <c r="AF189" s="100"/>
      <c r="AG189" s="100"/>
      <c r="AH189" s="100"/>
      <c r="AI189" s="304" t="s">
        <v>321</v>
      </c>
    </row>
    <row r="190" spans="1:37">
      <c r="A190" s="96"/>
      <c r="B190" s="97" t="str">
        <f>B184</f>
        <v>Computer Hardware</v>
      </c>
      <c r="C190" s="98"/>
      <c r="D190" s="98"/>
      <c r="E190" s="98"/>
      <c r="F190" s="99">
        <f t="shared" ref="F190:Q190" si="262">F363+F369+F375+E190</f>
        <v>55.555555555555557</v>
      </c>
      <c r="G190" s="99">
        <f t="shared" si="262"/>
        <v>111.11111111111111</v>
      </c>
      <c r="H190" s="99">
        <f t="shared" si="262"/>
        <v>166.66666666666669</v>
      </c>
      <c r="I190" s="99">
        <f t="shared" si="262"/>
        <v>222.22222222222223</v>
      </c>
      <c r="J190" s="99">
        <f t="shared" si="262"/>
        <v>277.77777777777777</v>
      </c>
      <c r="K190" s="99">
        <f t="shared" si="262"/>
        <v>379.16666666666663</v>
      </c>
      <c r="L190" s="99">
        <f t="shared" si="262"/>
        <v>480.55555555555554</v>
      </c>
      <c r="M190" s="99">
        <f t="shared" si="262"/>
        <v>581.94444444444446</v>
      </c>
      <c r="N190" s="99">
        <f t="shared" si="262"/>
        <v>683.33333333333337</v>
      </c>
      <c r="O190" s="99">
        <f t="shared" si="262"/>
        <v>784.72222222222229</v>
      </c>
      <c r="P190" s="99">
        <f t="shared" si="262"/>
        <v>886.1111111111112</v>
      </c>
      <c r="Q190" s="99">
        <f t="shared" si="262"/>
        <v>987.50000000000011</v>
      </c>
      <c r="R190" s="100">
        <f>Q190</f>
        <v>987.50000000000011</v>
      </c>
      <c r="S190" s="99">
        <f t="shared" ref="S190:AD190" ca="1" si="263">S363+S369+S375+R190</f>
        <v>1190.2777777777778</v>
      </c>
      <c r="T190" s="99">
        <f t="shared" ca="1" si="263"/>
        <v>1462.5</v>
      </c>
      <c r="U190" s="99">
        <f t="shared" ca="1" si="263"/>
        <v>1804.1666666666665</v>
      </c>
      <c r="V190" s="99">
        <f t="shared" ca="1" si="263"/>
        <v>2145.833333333333</v>
      </c>
      <c r="W190" s="99">
        <f t="shared" ca="1" si="263"/>
        <v>2487.4999999999995</v>
      </c>
      <c r="X190" s="99">
        <f t="shared" ca="1" si="263"/>
        <v>2829.1666666666661</v>
      </c>
      <c r="Y190" s="99">
        <f t="shared" ca="1" si="263"/>
        <v>3170.8333333333326</v>
      </c>
      <c r="Z190" s="99">
        <f t="shared" ca="1" si="263"/>
        <v>3512.4999999999991</v>
      </c>
      <c r="AA190" s="99">
        <f t="shared" ca="1" si="263"/>
        <v>3854.1666666666656</v>
      </c>
      <c r="AB190" s="99">
        <f t="shared" ca="1" si="263"/>
        <v>4195.8333333333321</v>
      </c>
      <c r="AC190" s="99">
        <f t="shared" ca="1" si="263"/>
        <v>4537.4999999999991</v>
      </c>
      <c r="AD190" s="99">
        <f t="shared" ca="1" si="263"/>
        <v>4879.1666666666661</v>
      </c>
      <c r="AE190" s="100">
        <f ca="1">AD190</f>
        <v>4879.1666666666661</v>
      </c>
      <c r="AF190" s="100">
        <f t="shared" ref="AF190:AH192" ca="1" si="264">AF363+AF369+AF375+AE190</f>
        <v>10745.833333333332</v>
      </c>
      <c r="AG190" s="100">
        <f t="shared" ca="1" si="264"/>
        <v>18312.5</v>
      </c>
      <c r="AH190" s="100">
        <f t="shared" ca="1" si="264"/>
        <v>24712.5</v>
      </c>
      <c r="AI190" s="304" t="s">
        <v>321</v>
      </c>
    </row>
    <row r="191" spans="1:37">
      <c r="B191" s="97" t="str">
        <f>B185</f>
        <v>Computer Software</v>
      </c>
      <c r="C191" s="98"/>
      <c r="D191" s="98"/>
      <c r="E191" s="98"/>
      <c r="F191" s="99">
        <f t="shared" ref="F191:Q191" si="265">F364+F370+F376+E191</f>
        <v>11.111111111111112</v>
      </c>
      <c r="G191" s="99">
        <f t="shared" si="265"/>
        <v>22.222222222222225</v>
      </c>
      <c r="H191" s="99">
        <f t="shared" si="265"/>
        <v>33.333333333333336</v>
      </c>
      <c r="I191" s="99">
        <f t="shared" si="265"/>
        <v>44.44444444444445</v>
      </c>
      <c r="J191" s="99">
        <f t="shared" si="265"/>
        <v>55.555555555555564</v>
      </c>
      <c r="K191" s="99">
        <f t="shared" si="265"/>
        <v>75.000000000000014</v>
      </c>
      <c r="L191" s="99">
        <f t="shared" si="265"/>
        <v>94.444444444444457</v>
      </c>
      <c r="M191" s="99">
        <f t="shared" si="265"/>
        <v>113.8888888888889</v>
      </c>
      <c r="N191" s="99">
        <f t="shared" si="265"/>
        <v>133.33333333333334</v>
      </c>
      <c r="O191" s="99">
        <f t="shared" si="265"/>
        <v>152.7777777777778</v>
      </c>
      <c r="P191" s="99">
        <f t="shared" si="265"/>
        <v>172.22222222222226</v>
      </c>
      <c r="Q191" s="99">
        <f t="shared" si="265"/>
        <v>191.66666666666671</v>
      </c>
      <c r="R191" s="100">
        <f>Q191</f>
        <v>191.66666666666671</v>
      </c>
      <c r="S191" s="99">
        <f t="shared" ref="S191:AD191" ca="1" si="266">S364+S370+S376+R191</f>
        <v>230.5555555555556</v>
      </c>
      <c r="T191" s="99">
        <f t="shared" ca="1" si="266"/>
        <v>275.00000000000006</v>
      </c>
      <c r="U191" s="99">
        <f t="shared" ca="1" si="266"/>
        <v>325.00000000000006</v>
      </c>
      <c r="V191" s="99">
        <f t="shared" ca="1" si="266"/>
        <v>375.00000000000006</v>
      </c>
      <c r="W191" s="99">
        <f t="shared" ca="1" si="266"/>
        <v>425.00000000000006</v>
      </c>
      <c r="X191" s="99">
        <f t="shared" ca="1" si="266"/>
        <v>475.00000000000006</v>
      </c>
      <c r="Y191" s="99">
        <f t="shared" ca="1" si="266"/>
        <v>525.00000000000011</v>
      </c>
      <c r="Z191" s="99">
        <f t="shared" ca="1" si="266"/>
        <v>575.00000000000011</v>
      </c>
      <c r="AA191" s="99">
        <f t="shared" ca="1" si="266"/>
        <v>625.00000000000011</v>
      </c>
      <c r="AB191" s="99">
        <f t="shared" ca="1" si="266"/>
        <v>675.00000000000011</v>
      </c>
      <c r="AC191" s="99">
        <f t="shared" ca="1" si="266"/>
        <v>725.00000000000011</v>
      </c>
      <c r="AD191" s="99">
        <f t="shared" ca="1" si="266"/>
        <v>775.00000000000011</v>
      </c>
      <c r="AE191" s="100">
        <f ca="1">AD191</f>
        <v>775.00000000000011</v>
      </c>
      <c r="AF191" s="100">
        <f t="shared" ca="1" si="264"/>
        <v>1575</v>
      </c>
      <c r="AG191" s="100">
        <f t="shared" ca="1" si="264"/>
        <v>2541.666666666667</v>
      </c>
      <c r="AH191" s="100">
        <f t="shared" ca="1" si="264"/>
        <v>3275.0000000000005</v>
      </c>
      <c r="AI191" s="304" t="s">
        <v>321</v>
      </c>
    </row>
    <row r="192" spans="1:37">
      <c r="A192" s="96"/>
      <c r="B192" s="97" t="str">
        <f>B186</f>
        <v>Furniture &amp; Fixtures</v>
      </c>
      <c r="C192" s="98"/>
      <c r="D192" s="98"/>
      <c r="E192" s="98"/>
      <c r="F192" s="99">
        <f t="shared" ref="F192:Q192" si="267">F365+F371+F377+E192</f>
        <v>8.3333333333333339</v>
      </c>
      <c r="G192" s="99">
        <f t="shared" si="267"/>
        <v>16.666666666666668</v>
      </c>
      <c r="H192" s="99">
        <f t="shared" si="267"/>
        <v>25</v>
      </c>
      <c r="I192" s="99">
        <f t="shared" si="267"/>
        <v>33.333333333333336</v>
      </c>
      <c r="J192" s="99">
        <f t="shared" si="267"/>
        <v>41.666666666666671</v>
      </c>
      <c r="K192" s="99">
        <f t="shared" si="267"/>
        <v>56.250000000000007</v>
      </c>
      <c r="L192" s="99">
        <f t="shared" si="267"/>
        <v>70.833333333333343</v>
      </c>
      <c r="M192" s="99">
        <f t="shared" si="267"/>
        <v>85.416666666666671</v>
      </c>
      <c r="N192" s="99">
        <f t="shared" si="267"/>
        <v>100</v>
      </c>
      <c r="O192" s="99">
        <f t="shared" si="267"/>
        <v>114.58333333333333</v>
      </c>
      <c r="P192" s="99">
        <f t="shared" si="267"/>
        <v>129.16666666666666</v>
      </c>
      <c r="Q192" s="99">
        <f t="shared" si="267"/>
        <v>143.75</v>
      </c>
      <c r="R192" s="100">
        <f>Q192</f>
        <v>143.75</v>
      </c>
      <c r="S192" s="99">
        <f t="shared" ref="S192:AD192" ca="1" si="268">S365+S371+S377+R192</f>
        <v>172.91666666666666</v>
      </c>
      <c r="T192" s="99">
        <f t="shared" ca="1" si="268"/>
        <v>206.25</v>
      </c>
      <c r="U192" s="99">
        <f t="shared" ca="1" si="268"/>
        <v>243.75</v>
      </c>
      <c r="V192" s="99">
        <f t="shared" ca="1" si="268"/>
        <v>281.25</v>
      </c>
      <c r="W192" s="99">
        <f t="shared" ca="1" si="268"/>
        <v>318.75</v>
      </c>
      <c r="X192" s="99">
        <f t="shared" ca="1" si="268"/>
        <v>356.25</v>
      </c>
      <c r="Y192" s="99">
        <f t="shared" ca="1" si="268"/>
        <v>393.75</v>
      </c>
      <c r="Z192" s="99">
        <f t="shared" ca="1" si="268"/>
        <v>431.25</v>
      </c>
      <c r="AA192" s="99">
        <f t="shared" ca="1" si="268"/>
        <v>468.75</v>
      </c>
      <c r="AB192" s="99">
        <f t="shared" ca="1" si="268"/>
        <v>506.25</v>
      </c>
      <c r="AC192" s="99">
        <f t="shared" ca="1" si="268"/>
        <v>543.75</v>
      </c>
      <c r="AD192" s="99">
        <f t="shared" ca="1" si="268"/>
        <v>581.25</v>
      </c>
      <c r="AE192" s="100">
        <f ca="1">AD192</f>
        <v>581.25</v>
      </c>
      <c r="AF192" s="100">
        <f t="shared" ca="1" si="264"/>
        <v>1181.25</v>
      </c>
      <c r="AG192" s="100">
        <f t="shared" ca="1" si="264"/>
        <v>2081.25</v>
      </c>
      <c r="AH192" s="100">
        <f t="shared" ca="1" si="264"/>
        <v>3081.25</v>
      </c>
      <c r="AI192" s="304" t="s">
        <v>321</v>
      </c>
    </row>
    <row r="193" spans="1:35" s="99" customFormat="1">
      <c r="A193" s="83" t="s">
        <v>222</v>
      </c>
      <c r="B193" s="102"/>
      <c r="C193" s="85"/>
      <c r="D193" s="85"/>
      <c r="E193" s="140">
        <v>0</v>
      </c>
      <c r="F193" s="103">
        <f t="shared" ref="F193:Q193" si="269">SUM(F190:F192)</f>
        <v>75</v>
      </c>
      <c r="G193" s="103">
        <f t="shared" si="269"/>
        <v>150</v>
      </c>
      <c r="H193" s="103">
        <f t="shared" si="269"/>
        <v>225.00000000000003</v>
      </c>
      <c r="I193" s="103">
        <f t="shared" si="269"/>
        <v>300</v>
      </c>
      <c r="J193" s="103">
        <f t="shared" si="269"/>
        <v>375</v>
      </c>
      <c r="K193" s="103">
        <f t="shared" si="269"/>
        <v>510.41666666666663</v>
      </c>
      <c r="L193" s="103">
        <f t="shared" si="269"/>
        <v>645.83333333333337</v>
      </c>
      <c r="M193" s="103">
        <f t="shared" si="269"/>
        <v>781.25</v>
      </c>
      <c r="N193" s="103">
        <f t="shared" si="269"/>
        <v>916.66666666666674</v>
      </c>
      <c r="O193" s="103">
        <f t="shared" si="269"/>
        <v>1052.0833333333335</v>
      </c>
      <c r="P193" s="103">
        <f t="shared" si="269"/>
        <v>1187.5000000000002</v>
      </c>
      <c r="Q193" s="103">
        <f t="shared" si="269"/>
        <v>1322.9166666666667</v>
      </c>
      <c r="R193" s="104">
        <f>Q193</f>
        <v>1322.9166666666667</v>
      </c>
      <c r="S193" s="103">
        <f t="shared" ref="S193:AD193" ca="1" si="270">SUM(S190:S192)</f>
        <v>1593.7500000000002</v>
      </c>
      <c r="T193" s="103">
        <f t="shared" ca="1" si="270"/>
        <v>1943.75</v>
      </c>
      <c r="U193" s="103">
        <f t="shared" ca="1" si="270"/>
        <v>2372.9166666666665</v>
      </c>
      <c r="V193" s="103">
        <f t="shared" ca="1" si="270"/>
        <v>2802.083333333333</v>
      </c>
      <c r="W193" s="103">
        <f t="shared" ca="1" si="270"/>
        <v>3231.2499999999995</v>
      </c>
      <c r="X193" s="103">
        <f t="shared" ca="1" si="270"/>
        <v>3660.4166666666661</v>
      </c>
      <c r="Y193" s="103">
        <f t="shared" ca="1" si="270"/>
        <v>4089.5833333333326</v>
      </c>
      <c r="Z193" s="103">
        <f t="shared" ca="1" si="270"/>
        <v>4518.7499999999991</v>
      </c>
      <c r="AA193" s="103">
        <f t="shared" ca="1" si="270"/>
        <v>4947.9166666666661</v>
      </c>
      <c r="AB193" s="103">
        <f t="shared" ca="1" si="270"/>
        <v>5377.0833333333321</v>
      </c>
      <c r="AC193" s="103">
        <f t="shared" ca="1" si="270"/>
        <v>5806.2499999999991</v>
      </c>
      <c r="AD193" s="103">
        <f t="shared" ca="1" si="270"/>
        <v>6235.4166666666661</v>
      </c>
      <c r="AE193" s="104">
        <f ca="1">AD193</f>
        <v>6235.4166666666661</v>
      </c>
      <c r="AF193" s="104">
        <f ca="1">SUM(AF190:AF192)</f>
        <v>13502.083333333332</v>
      </c>
      <c r="AG193" s="104">
        <f ca="1">SUM(AG190:AG192)</f>
        <v>22935.416666666668</v>
      </c>
      <c r="AH193" s="104">
        <f ca="1">SUM(AH190:AH192)</f>
        <v>31068.75</v>
      </c>
      <c r="AI193" s="304" t="s">
        <v>321</v>
      </c>
    </row>
    <row r="194" spans="1:35">
      <c r="A194" s="96"/>
      <c r="B194" s="97"/>
      <c r="C194" s="98"/>
      <c r="D194" s="98"/>
      <c r="E194" s="98"/>
      <c r="F194" s="99"/>
      <c r="G194" s="99"/>
      <c r="H194" s="99"/>
      <c r="I194" s="99"/>
      <c r="J194" s="99"/>
      <c r="K194" s="99"/>
      <c r="L194" s="99"/>
      <c r="M194" s="99"/>
      <c r="N194" s="99"/>
      <c r="O194" s="99"/>
      <c r="P194" s="99"/>
      <c r="Q194" s="99"/>
      <c r="R194" s="100"/>
      <c r="S194" s="99"/>
      <c r="T194" s="99"/>
      <c r="U194" s="99"/>
      <c r="V194" s="99"/>
      <c r="W194" s="99"/>
      <c r="X194" s="99"/>
      <c r="Y194" s="99"/>
      <c r="Z194" s="99"/>
      <c r="AA194" s="99"/>
      <c r="AB194" s="99"/>
      <c r="AC194" s="99"/>
      <c r="AD194" s="99"/>
      <c r="AE194" s="100"/>
      <c r="AF194" s="100"/>
      <c r="AG194" s="100"/>
      <c r="AH194" s="100"/>
      <c r="AI194" s="304" t="s">
        <v>321</v>
      </c>
    </row>
    <row r="195" spans="1:35">
      <c r="A195" s="96" t="s">
        <v>223</v>
      </c>
      <c r="B195" s="97"/>
      <c r="C195" s="98"/>
      <c r="D195" s="98"/>
      <c r="E195" s="98">
        <f t="shared" ref="E195:Q195" si="271">E187-E193</f>
        <v>0</v>
      </c>
      <c r="F195" s="99">
        <f t="shared" si="271"/>
        <v>2825</v>
      </c>
      <c r="G195" s="99">
        <f t="shared" si="271"/>
        <v>2750</v>
      </c>
      <c r="H195" s="99">
        <f t="shared" si="271"/>
        <v>2675</v>
      </c>
      <c r="I195" s="99">
        <f t="shared" si="271"/>
        <v>2600</v>
      </c>
      <c r="J195" s="99">
        <f t="shared" si="271"/>
        <v>2525</v>
      </c>
      <c r="K195" s="99">
        <f>K187-K193</f>
        <v>4814.583333333333</v>
      </c>
      <c r="L195" s="99">
        <f t="shared" si="271"/>
        <v>4679.166666666667</v>
      </c>
      <c r="M195" s="99">
        <f t="shared" si="271"/>
        <v>4543.75</v>
      </c>
      <c r="N195" s="99">
        <f t="shared" si="271"/>
        <v>4408.333333333333</v>
      </c>
      <c r="O195" s="99">
        <f t="shared" si="271"/>
        <v>4272.9166666666661</v>
      </c>
      <c r="P195" s="99">
        <f t="shared" si="271"/>
        <v>4137.5</v>
      </c>
      <c r="Q195" s="99">
        <f t="shared" si="271"/>
        <v>4002.083333333333</v>
      </c>
      <c r="R195" s="100">
        <f>Q195</f>
        <v>4002.083333333333</v>
      </c>
      <c r="S195" s="99">
        <f t="shared" ref="S195:AD195" ca="1" si="272">S187-S193</f>
        <v>9056.25</v>
      </c>
      <c r="T195" s="99">
        <f t="shared" ca="1" si="272"/>
        <v>11656.25</v>
      </c>
      <c r="U195" s="99">
        <f t="shared" ca="1" si="272"/>
        <v>14177.083333333334</v>
      </c>
      <c r="V195" s="99">
        <f t="shared" ca="1" si="272"/>
        <v>13747.916666666668</v>
      </c>
      <c r="W195" s="99">
        <f t="shared" ca="1" si="272"/>
        <v>13318.75</v>
      </c>
      <c r="X195" s="99">
        <f t="shared" ca="1" si="272"/>
        <v>12889.583333333334</v>
      </c>
      <c r="Y195" s="99">
        <f t="shared" ca="1" si="272"/>
        <v>12460.416666666668</v>
      </c>
      <c r="Z195" s="99">
        <f t="shared" ca="1" si="272"/>
        <v>12031.25</v>
      </c>
      <c r="AA195" s="99">
        <f t="shared" ca="1" si="272"/>
        <v>11602.083333333334</v>
      </c>
      <c r="AB195" s="99">
        <f t="shared" ca="1" si="272"/>
        <v>11172.916666666668</v>
      </c>
      <c r="AC195" s="99">
        <f t="shared" ca="1" si="272"/>
        <v>10743.75</v>
      </c>
      <c r="AD195" s="99">
        <f t="shared" ca="1" si="272"/>
        <v>10314.583333333334</v>
      </c>
      <c r="AE195" s="100">
        <f ca="1">AD195</f>
        <v>10314.583333333334</v>
      </c>
      <c r="AF195" s="100">
        <f ca="1">AF187-AF193</f>
        <v>9897.9166666666679</v>
      </c>
      <c r="AG195" s="100">
        <f ca="1">AG187-AG193</f>
        <v>12164.583333333332</v>
      </c>
      <c r="AH195" s="100">
        <f ca="1">AH187-AH193</f>
        <v>9931.25</v>
      </c>
      <c r="AI195" s="304" t="s">
        <v>321</v>
      </c>
    </row>
    <row r="196" spans="1:35">
      <c r="A196" s="96"/>
      <c r="B196" s="97"/>
      <c r="C196" s="98"/>
      <c r="D196" s="98"/>
      <c r="E196" s="98"/>
      <c r="F196" s="99"/>
      <c r="G196" s="99"/>
      <c r="H196" s="99"/>
      <c r="I196" s="99"/>
      <c r="J196" s="99"/>
      <c r="K196" s="99"/>
      <c r="L196" s="99"/>
      <c r="M196" s="99"/>
      <c r="N196" s="99"/>
      <c r="O196" s="99"/>
      <c r="P196" s="99"/>
      <c r="Q196" s="99"/>
      <c r="R196" s="100"/>
      <c r="S196" s="99"/>
      <c r="T196" s="99"/>
      <c r="U196" s="99"/>
      <c r="V196" s="99"/>
      <c r="W196" s="99"/>
      <c r="X196" s="99"/>
      <c r="Y196" s="99"/>
      <c r="Z196" s="99"/>
      <c r="AA196" s="99"/>
      <c r="AB196" s="99"/>
      <c r="AC196" s="99"/>
      <c r="AD196" s="99"/>
      <c r="AE196" s="100"/>
      <c r="AF196" s="100"/>
      <c r="AG196" s="100"/>
      <c r="AH196" s="100"/>
      <c r="AI196" s="304" t="s">
        <v>321</v>
      </c>
    </row>
    <row r="197" spans="1:35">
      <c r="A197" s="83" t="s">
        <v>224</v>
      </c>
      <c r="B197" s="102"/>
      <c r="C197" s="85"/>
      <c r="D197" s="85"/>
      <c r="E197" s="85">
        <f t="shared" ref="E197:Q197" si="273">E181+E195</f>
        <v>100000</v>
      </c>
      <c r="F197" s="103">
        <f t="shared" ca="1" si="273"/>
        <v>95520.833333333328</v>
      </c>
      <c r="G197" s="103">
        <f t="shared" ca="1" si="273"/>
        <v>88011.666666666657</v>
      </c>
      <c r="H197" s="103">
        <f t="shared" ca="1" si="273"/>
        <v>70502.5</v>
      </c>
      <c r="I197" s="103">
        <f t="shared" ca="1" si="273"/>
        <v>203033.33333333334</v>
      </c>
      <c r="J197" s="103">
        <f t="shared" ca="1" si="273"/>
        <v>195215.99666666667</v>
      </c>
      <c r="K197" s="103">
        <f t="shared" ca="1" si="273"/>
        <v>171761.65333333332</v>
      </c>
      <c r="L197" s="103">
        <f t="shared" ca="1" si="273"/>
        <v>140058.22999999995</v>
      </c>
      <c r="M197" s="103">
        <f t="shared" ca="1" si="273"/>
        <v>129640.71666666665</v>
      </c>
      <c r="N197" s="103">
        <f t="shared" ca="1" si="273"/>
        <v>105968.26333333332</v>
      </c>
      <c r="O197" s="103">
        <f t="shared" ca="1" si="273"/>
        <v>83381.730000000025</v>
      </c>
      <c r="P197" s="103">
        <f t="shared" ca="1" si="273"/>
        <v>94721.106666666674</v>
      </c>
      <c r="Q197" s="103">
        <f t="shared" ca="1" si="273"/>
        <v>70326.943333333344</v>
      </c>
      <c r="R197" s="104">
        <f ca="1">Q197</f>
        <v>70326.943333333344</v>
      </c>
      <c r="S197" s="103">
        <f t="shared" ref="S197:AD197" ca="1" si="274">S181+S195</f>
        <v>860992.52333333343</v>
      </c>
      <c r="T197" s="103">
        <f t="shared" ca="1" si="274"/>
        <v>802201.78</v>
      </c>
      <c r="U197" s="103">
        <f t="shared" ca="1" si="274"/>
        <v>712544.71733333333</v>
      </c>
      <c r="V197" s="103">
        <f t="shared" ca="1" si="274"/>
        <v>646007.91800000006</v>
      </c>
      <c r="W197" s="103">
        <f t="shared" ca="1" si="274"/>
        <v>624750.26266666665</v>
      </c>
      <c r="X197" s="103">
        <f t="shared" ca="1" si="274"/>
        <v>621521.39733333362</v>
      </c>
      <c r="Y197" s="103">
        <f t="shared" ca="1" si="274"/>
        <v>639566.13800000004</v>
      </c>
      <c r="Z197" s="103">
        <f t="shared" ca="1" si="274"/>
        <v>665991.02066666679</v>
      </c>
      <c r="AA197" s="103">
        <f t="shared" ca="1" si="274"/>
        <v>744948.15333333367</v>
      </c>
      <c r="AB197" s="103">
        <f t="shared" ca="1" si="274"/>
        <v>859971.87000000011</v>
      </c>
      <c r="AC197" s="103">
        <f t="shared" ca="1" si="274"/>
        <v>1037626.628666667</v>
      </c>
      <c r="AD197" s="103">
        <f t="shared" ca="1" si="274"/>
        <v>1236691.7533333336</v>
      </c>
      <c r="AE197" s="104">
        <f ca="1">AD197</f>
        <v>1236691.7533333336</v>
      </c>
      <c r="AF197" s="104">
        <f ca="1">AF181+AF195</f>
        <v>2759525.8384166667</v>
      </c>
      <c r="AG197" s="104">
        <f ca="1">AG181+AG195</f>
        <v>5165367.9589499999</v>
      </c>
      <c r="AH197" s="104">
        <f ca="1">AH181+AH195</f>
        <v>7982428.0164999999</v>
      </c>
      <c r="AI197" s="304" t="s">
        <v>321</v>
      </c>
    </row>
    <row r="198" spans="1:35">
      <c r="A198" s="96"/>
      <c r="B198" s="97"/>
      <c r="C198" s="98"/>
      <c r="D198" s="98"/>
      <c r="E198" s="98"/>
      <c r="F198" s="99"/>
      <c r="G198" s="99"/>
      <c r="H198" s="99"/>
      <c r="I198" s="99"/>
      <c r="J198" s="99"/>
      <c r="K198" s="99"/>
      <c r="L198" s="99"/>
      <c r="M198" s="99"/>
      <c r="N198" s="99"/>
      <c r="O198" s="99"/>
      <c r="P198" s="99"/>
      <c r="Q198" s="99"/>
      <c r="R198" s="100"/>
      <c r="S198" s="99"/>
      <c r="T198" s="99"/>
      <c r="U198" s="99"/>
      <c r="V198" s="99"/>
      <c r="W198" s="99"/>
      <c r="X198" s="99"/>
      <c r="Y198" s="99"/>
      <c r="Z198" s="99"/>
      <c r="AA198" s="99"/>
      <c r="AB198" s="99"/>
      <c r="AC198" s="99"/>
      <c r="AD198" s="99"/>
      <c r="AE198" s="100"/>
      <c r="AF198" s="100"/>
      <c r="AG198" s="100"/>
      <c r="AH198" s="100"/>
      <c r="AI198" s="304" t="s">
        <v>321</v>
      </c>
    </row>
    <row r="199" spans="1:35">
      <c r="A199" s="96" t="s">
        <v>225</v>
      </c>
      <c r="B199" s="97"/>
      <c r="C199" s="98"/>
      <c r="D199" s="98"/>
      <c r="E199" s="98"/>
      <c r="F199" s="99"/>
      <c r="G199" s="99"/>
      <c r="H199" s="99"/>
      <c r="I199" s="99"/>
      <c r="J199" s="99"/>
      <c r="K199" s="99"/>
      <c r="L199" s="99"/>
      <c r="M199" s="99"/>
      <c r="N199" s="99"/>
      <c r="O199" s="99"/>
      <c r="P199" s="99"/>
      <c r="Q199" s="99"/>
      <c r="R199" s="100"/>
      <c r="S199" s="99"/>
      <c r="T199" s="99"/>
      <c r="U199" s="99"/>
      <c r="V199" s="99"/>
      <c r="W199" s="99"/>
      <c r="X199" s="99"/>
      <c r="Y199" s="99"/>
      <c r="Z199" s="99"/>
      <c r="AA199" s="99"/>
      <c r="AB199" s="99"/>
      <c r="AC199" s="99"/>
      <c r="AD199" s="99"/>
      <c r="AE199" s="100"/>
      <c r="AF199" s="100"/>
      <c r="AG199" s="100"/>
      <c r="AH199" s="100"/>
      <c r="AI199" s="304" t="s">
        <v>321</v>
      </c>
    </row>
    <row r="200" spans="1:35">
      <c r="A200" s="96"/>
      <c r="B200" s="97"/>
      <c r="C200" s="98"/>
      <c r="D200" s="98"/>
      <c r="E200" s="98"/>
      <c r="F200" s="99"/>
      <c r="G200" s="99"/>
      <c r="H200" s="99"/>
      <c r="I200" s="99"/>
      <c r="J200" s="99"/>
      <c r="K200" s="99"/>
      <c r="L200" s="99"/>
      <c r="M200" s="99"/>
      <c r="N200" s="99"/>
      <c r="O200" s="99"/>
      <c r="P200" s="99"/>
      <c r="Q200" s="99"/>
      <c r="R200" s="100"/>
      <c r="S200" s="99"/>
      <c r="T200" s="99"/>
      <c r="U200" s="99"/>
      <c r="V200" s="99"/>
      <c r="W200" s="99"/>
      <c r="X200" s="99"/>
      <c r="Y200" s="99"/>
      <c r="Z200" s="99"/>
      <c r="AA200" s="99"/>
      <c r="AB200" s="99"/>
      <c r="AC200" s="99"/>
      <c r="AD200" s="99"/>
      <c r="AE200" s="100"/>
      <c r="AF200" s="100"/>
      <c r="AG200" s="100"/>
      <c r="AH200" s="100"/>
      <c r="AI200" s="304" t="s">
        <v>321</v>
      </c>
    </row>
    <row r="201" spans="1:35">
      <c r="A201" s="96" t="s">
        <v>226</v>
      </c>
      <c r="B201" s="97"/>
      <c r="C201" s="98"/>
      <c r="D201" s="98"/>
      <c r="E201" s="98"/>
      <c r="F201" s="99"/>
      <c r="G201" s="99"/>
      <c r="H201" s="99"/>
      <c r="I201" s="99"/>
      <c r="J201" s="99"/>
      <c r="K201" s="99"/>
      <c r="L201" s="99"/>
      <c r="M201" s="99"/>
      <c r="N201" s="99"/>
      <c r="O201" s="99"/>
      <c r="P201" s="99"/>
      <c r="Q201" s="99"/>
      <c r="R201" s="100"/>
      <c r="S201" s="99"/>
      <c r="T201" s="99"/>
      <c r="U201" s="99"/>
      <c r="V201" s="99"/>
      <c r="W201" s="99"/>
      <c r="X201" s="99"/>
      <c r="Y201" s="99"/>
      <c r="Z201" s="99"/>
      <c r="AA201" s="99"/>
      <c r="AB201" s="99"/>
      <c r="AC201" s="99"/>
      <c r="AD201" s="99"/>
      <c r="AE201" s="100"/>
      <c r="AF201" s="100"/>
      <c r="AG201" s="100"/>
      <c r="AH201" s="100"/>
      <c r="AI201" s="304" t="s">
        <v>321</v>
      </c>
    </row>
    <row r="202" spans="1:35">
      <c r="A202" s="96"/>
      <c r="B202" s="97" t="str">
        <f>"Accounts Payable ("&amp;$C$202&amp;" days)"</f>
        <v>Accounts Payable (30 days)</v>
      </c>
      <c r="C202" s="142">
        <f>Assumptions!I43</f>
        <v>30</v>
      </c>
      <c r="D202" s="67"/>
      <c r="E202" s="139">
        <v>0</v>
      </c>
      <c r="F202" s="99">
        <f>F100+F101+F102+F103+F113+F114+F115+F125+F127+F136+F137+F138+F140+F143+F144</f>
        <v>3030</v>
      </c>
      <c r="G202" s="99">
        <f t="shared" ref="G202:Q202" si="275">G100+G101+G102+G103+G113+G114+G115+G125+G127+G136+G137+G138+G140+G143+G144</f>
        <v>3030</v>
      </c>
      <c r="H202" s="99">
        <f>H100+H101+H102+H103+H113+H114+H115+H125+H127+H136+H137+H138+H140+H143+H144</f>
        <v>8030</v>
      </c>
      <c r="I202" s="99">
        <f t="shared" si="275"/>
        <v>10898.17</v>
      </c>
      <c r="J202" s="99">
        <f t="shared" si="275"/>
        <v>17332.260000000002</v>
      </c>
      <c r="K202" s="99">
        <f t="shared" si="275"/>
        <v>21226.34</v>
      </c>
      <c r="L202" s="99">
        <f t="shared" si="275"/>
        <v>27660.43</v>
      </c>
      <c r="M202" s="99">
        <f t="shared" si="275"/>
        <v>43435.369999999995</v>
      </c>
      <c r="N202" s="99">
        <f t="shared" si="275"/>
        <v>44869.45</v>
      </c>
      <c r="O202" s="99">
        <f t="shared" si="275"/>
        <v>56303.54</v>
      </c>
      <c r="P202" s="99">
        <f t="shared" si="275"/>
        <v>102117.08</v>
      </c>
      <c r="Q202" s="99">
        <f t="shared" si="275"/>
        <v>87853.42</v>
      </c>
      <c r="R202" s="100">
        <f t="shared" ref="R202:R208" si="276">Q202</f>
        <v>87853.42</v>
      </c>
      <c r="S202" s="99">
        <f>S100+S101+S102+S103+S113+S114+S115+S125+S127+S136+S137+S138+S140+S143+S144</f>
        <v>145115.49666666664</v>
      </c>
      <c r="T202" s="99">
        <f t="shared" ref="T202:AD202" si="277">T100+T101+T102+T103+T113+T114+T115+T125+T127+T136+T137+T138+T140+T143+T144</f>
        <v>164849.48666666666</v>
      </c>
      <c r="U202" s="99">
        <f t="shared" si="277"/>
        <v>169374.15666666668</v>
      </c>
      <c r="V202" s="99">
        <f t="shared" si="277"/>
        <v>189272.19666666666</v>
      </c>
      <c r="W202" s="99">
        <f t="shared" si="277"/>
        <v>212752.84666666665</v>
      </c>
      <c r="X202" s="99">
        <f t="shared" si="277"/>
        <v>240459.97666666665</v>
      </c>
      <c r="Y202" s="99">
        <f t="shared" si="277"/>
        <v>289877.54666666663</v>
      </c>
      <c r="Z202" s="99">
        <f t="shared" si="277"/>
        <v>305546.57666666666</v>
      </c>
      <c r="AA202" s="99">
        <f t="shared" si="277"/>
        <v>349956.69666666666</v>
      </c>
      <c r="AB202" s="99">
        <f t="shared" si="277"/>
        <v>382288.32666666666</v>
      </c>
      <c r="AC202" s="99">
        <f t="shared" si="277"/>
        <v>472934.29666666663</v>
      </c>
      <c r="AD202" s="99">
        <f t="shared" si="277"/>
        <v>470954.14666666667</v>
      </c>
      <c r="AE202" s="100">
        <f t="shared" ref="AE202:AE208" si="278">AD202</f>
        <v>470954.14666666667</v>
      </c>
      <c r="AF202" s="100">
        <f>(AF100+AF101+AF102+AF103+AF113+AF114+AF115+AF125+AF127+AF136+AF137+AF138+AF140+AF143+AF144)/12</f>
        <v>605294.43291666673</v>
      </c>
      <c r="AG202" s="100">
        <f>(AG100+AG101+AG102+AG103+AG113+AG114+AG115+AG125+AG127+AG136+AG137+AG138+AG140+AG143+AG144)/12</f>
        <v>806700.81925000006</v>
      </c>
      <c r="AH202" s="100">
        <f>(AH100+AH101+AH102+AH103+AH113+AH114+AH115+AH125+AH127+AH136+AH137+AH138+AH140+AH143+AH144)/12</f>
        <v>1102217.7895</v>
      </c>
      <c r="AI202" s="304" t="s">
        <v>321</v>
      </c>
    </row>
    <row r="203" spans="1:35">
      <c r="A203" s="96"/>
      <c r="B203" s="97" t="str">
        <f>"Salaries Payable ("&amp;$C$203&amp;" days)"</f>
        <v>Salaries Payable (15 days)</v>
      </c>
      <c r="C203" s="142">
        <f>Assumptions!I44</f>
        <v>15</v>
      </c>
      <c r="D203" s="67"/>
      <c r="E203" s="139">
        <v>0</v>
      </c>
      <c r="F203" s="318">
        <f>$C$203/30*F324</f>
        <v>0</v>
      </c>
      <c r="G203" s="99">
        <f t="shared" ref="G203:Q203" si="279">$C$203/30*G324</f>
        <v>0</v>
      </c>
      <c r="H203" s="99">
        <f t="shared" si="279"/>
        <v>0</v>
      </c>
      <c r="I203" s="99">
        <f t="shared" si="279"/>
        <v>0</v>
      </c>
      <c r="J203" s="99">
        <f t="shared" si="279"/>
        <v>0</v>
      </c>
      <c r="K203" s="99">
        <f t="shared" si="279"/>
        <v>6875</v>
      </c>
      <c r="L203" s="99">
        <f t="shared" si="279"/>
        <v>6875</v>
      </c>
      <c r="M203" s="99">
        <f t="shared" si="279"/>
        <v>6875</v>
      </c>
      <c r="N203" s="99">
        <f t="shared" si="279"/>
        <v>6875</v>
      </c>
      <c r="O203" s="99">
        <f t="shared" si="279"/>
        <v>6875</v>
      </c>
      <c r="P203" s="99">
        <f t="shared" si="279"/>
        <v>6875</v>
      </c>
      <c r="Q203" s="99">
        <f t="shared" si="279"/>
        <v>6875</v>
      </c>
      <c r="R203" s="100">
        <f t="shared" si="276"/>
        <v>6875</v>
      </c>
      <c r="S203" s="99">
        <f t="shared" ref="S203:AD203" si="280">$C$203/30*S324</f>
        <v>16250</v>
      </c>
      <c r="T203" s="99">
        <f t="shared" si="280"/>
        <v>18416.666666666668</v>
      </c>
      <c r="U203" s="99">
        <f t="shared" si="280"/>
        <v>20583.333333333336</v>
      </c>
      <c r="V203" s="99">
        <f t="shared" si="280"/>
        <v>20583.333333333336</v>
      </c>
      <c r="W203" s="99">
        <f t="shared" si="280"/>
        <v>20583.333333333336</v>
      </c>
      <c r="X203" s="99">
        <f t="shared" si="280"/>
        <v>20583.333333333336</v>
      </c>
      <c r="Y203" s="99">
        <f t="shared" si="280"/>
        <v>20583.333333333336</v>
      </c>
      <c r="Z203" s="99">
        <f t="shared" si="280"/>
        <v>20583.333333333336</v>
      </c>
      <c r="AA203" s="99">
        <f t="shared" si="280"/>
        <v>20583.333333333336</v>
      </c>
      <c r="AB203" s="99">
        <f t="shared" si="280"/>
        <v>20583.333333333336</v>
      </c>
      <c r="AC203" s="99">
        <f t="shared" si="280"/>
        <v>20583.333333333336</v>
      </c>
      <c r="AD203" s="99">
        <f t="shared" si="280"/>
        <v>20583.333333333336</v>
      </c>
      <c r="AE203" s="100">
        <f t="shared" si="278"/>
        <v>20583.333333333336</v>
      </c>
      <c r="AF203" s="100">
        <f>$C$203/30*AF324/12</f>
        <v>28617.333333333339</v>
      </c>
      <c r="AG203" s="100">
        <f>$C$203/30*AG324/12</f>
        <v>44057.17333333334</v>
      </c>
      <c r="AH203" s="100">
        <f>$C$203/30*AH324/12</f>
        <v>50693.870933333332</v>
      </c>
      <c r="AI203" s="304" t="s">
        <v>321</v>
      </c>
    </row>
    <row r="204" spans="1:35">
      <c r="A204" s="96"/>
      <c r="B204" s="97" t="str">
        <f>"Taxes Payable ("&amp;$C$204&amp;" days)"</f>
        <v>Taxes Payable (90 days)</v>
      </c>
      <c r="C204" s="142">
        <f>Assumptions!I45</f>
        <v>90</v>
      </c>
      <c r="D204" s="381" t="s">
        <v>360</v>
      </c>
      <c r="E204" s="139">
        <v>0</v>
      </c>
      <c r="F204" s="382">
        <f ca="1">F164</f>
        <v>0</v>
      </c>
      <c r="G204" s="99">
        <f ca="1">F204+G164</f>
        <v>0</v>
      </c>
      <c r="H204" s="99">
        <f ca="1">G204+H164</f>
        <v>0</v>
      </c>
      <c r="I204" s="99">
        <f ca="1">H204+I164</f>
        <v>0</v>
      </c>
      <c r="J204" s="99">
        <f t="shared" ref="J204:Q204" ca="1" si="281">I204+J164</f>
        <v>0</v>
      </c>
      <c r="K204" s="99">
        <f t="shared" ca="1" si="281"/>
        <v>0</v>
      </c>
      <c r="L204" s="99">
        <f t="shared" ca="1" si="281"/>
        <v>0</v>
      </c>
      <c r="M204" s="99">
        <f t="shared" ca="1" si="281"/>
        <v>0</v>
      </c>
      <c r="N204" s="99">
        <f t="shared" ca="1" si="281"/>
        <v>0</v>
      </c>
      <c r="O204" s="99">
        <f t="shared" ca="1" si="281"/>
        <v>0</v>
      </c>
      <c r="P204" s="99">
        <f t="shared" ca="1" si="281"/>
        <v>0</v>
      </c>
      <c r="Q204" s="99">
        <f t="shared" ca="1" si="281"/>
        <v>0</v>
      </c>
      <c r="R204" s="100">
        <f t="shared" ca="1" si="276"/>
        <v>0</v>
      </c>
      <c r="S204" s="99">
        <f ca="1">S164</f>
        <v>0</v>
      </c>
      <c r="T204" s="99">
        <f ca="1">S204+T164</f>
        <v>0</v>
      </c>
      <c r="U204" s="99">
        <f ca="1">T204+U164</f>
        <v>0</v>
      </c>
      <c r="V204" s="99">
        <f ca="1">V164</f>
        <v>0</v>
      </c>
      <c r="W204" s="99">
        <f ca="1">V204+W164</f>
        <v>0</v>
      </c>
      <c r="X204" s="99">
        <f ca="1">W204+X164</f>
        <v>0</v>
      </c>
      <c r="Y204" s="99">
        <f ca="1">Y164</f>
        <v>0</v>
      </c>
      <c r="Z204" s="99">
        <f ca="1">Y204+Z164</f>
        <v>0</v>
      </c>
      <c r="AA204" s="99">
        <f ca="1">Z204+AA164</f>
        <v>0</v>
      </c>
      <c r="AB204" s="99">
        <f ca="1">AB164</f>
        <v>0</v>
      </c>
      <c r="AC204" s="99">
        <f ca="1">AB204+AC164</f>
        <v>0</v>
      </c>
      <c r="AD204" s="99">
        <f ca="1">AC204+AD164</f>
        <v>0</v>
      </c>
      <c r="AE204" s="100">
        <f t="shared" ca="1" si="278"/>
        <v>0</v>
      </c>
      <c r="AF204" s="100">
        <f ca="1">AF164/4</f>
        <v>153659.15316666669</v>
      </c>
      <c r="AG204" s="100">
        <f ca="1">AG164/4</f>
        <v>334665.00676666666</v>
      </c>
      <c r="AH204" s="100">
        <f ca="1">AH164/4</f>
        <v>407081.62806666683</v>
      </c>
      <c r="AI204" s="304" t="s">
        <v>321</v>
      </c>
    </row>
    <row r="205" spans="1:35">
      <c r="A205" s="96"/>
      <c r="B205" s="97" t="str">
        <f>"Line of Credit ("&amp;$C$205*100&amp;"% of net A/R)"</f>
        <v>Line of Credit (0% of net A/R)</v>
      </c>
      <c r="C205" s="143">
        <f>Assumptions!I46</f>
        <v>0</v>
      </c>
      <c r="D205" s="144">
        <f>Assumptions!I47</f>
        <v>0</v>
      </c>
      <c r="E205" s="139">
        <v>0</v>
      </c>
      <c r="F205" s="67">
        <f t="shared" ref="F205:Q205" ca="1" si="282">IF(F180*$C$205&lt;=$D$205,F180*$C$205,$D$205)</f>
        <v>0</v>
      </c>
      <c r="G205" s="67">
        <f t="shared" ca="1" si="282"/>
        <v>0</v>
      </c>
      <c r="H205" s="67">
        <f t="shared" ca="1" si="282"/>
        <v>0</v>
      </c>
      <c r="I205" s="67">
        <f t="shared" ca="1" si="282"/>
        <v>0</v>
      </c>
      <c r="J205" s="67">
        <f t="shared" ca="1" si="282"/>
        <v>0</v>
      </c>
      <c r="K205" s="67">
        <f t="shared" ca="1" si="282"/>
        <v>0</v>
      </c>
      <c r="L205" s="67">
        <f t="shared" ca="1" si="282"/>
        <v>0</v>
      </c>
      <c r="M205" s="67">
        <f t="shared" ca="1" si="282"/>
        <v>0</v>
      </c>
      <c r="N205" s="67">
        <f t="shared" ca="1" si="282"/>
        <v>0</v>
      </c>
      <c r="O205" s="67">
        <f t="shared" ca="1" si="282"/>
        <v>0</v>
      </c>
      <c r="P205" s="67">
        <f t="shared" ca="1" si="282"/>
        <v>0</v>
      </c>
      <c r="Q205" s="67">
        <f t="shared" ca="1" si="282"/>
        <v>0</v>
      </c>
      <c r="R205" s="68">
        <f t="shared" ca="1" si="276"/>
        <v>0</v>
      </c>
      <c r="S205" s="67">
        <f t="shared" ref="S205:AD205" ca="1" si="283">IF(S180*$C$205&lt;=$D$205,S180*$C$205,$D$205)</f>
        <v>0</v>
      </c>
      <c r="T205" s="67">
        <f t="shared" ca="1" si="283"/>
        <v>0</v>
      </c>
      <c r="U205" s="67">
        <f t="shared" ca="1" si="283"/>
        <v>0</v>
      </c>
      <c r="V205" s="67">
        <f t="shared" ca="1" si="283"/>
        <v>0</v>
      </c>
      <c r="W205" s="67">
        <f t="shared" ca="1" si="283"/>
        <v>0</v>
      </c>
      <c r="X205" s="67">
        <f t="shared" ca="1" si="283"/>
        <v>0</v>
      </c>
      <c r="Y205" s="67">
        <f t="shared" ca="1" si="283"/>
        <v>0</v>
      </c>
      <c r="Z205" s="67">
        <f t="shared" ca="1" si="283"/>
        <v>0</v>
      </c>
      <c r="AA205" s="67">
        <f t="shared" ca="1" si="283"/>
        <v>0</v>
      </c>
      <c r="AB205" s="67">
        <f t="shared" ca="1" si="283"/>
        <v>0</v>
      </c>
      <c r="AC205" s="67">
        <f t="shared" ca="1" si="283"/>
        <v>0</v>
      </c>
      <c r="AD205" s="67">
        <f t="shared" ca="1" si="283"/>
        <v>0</v>
      </c>
      <c r="AE205" s="68">
        <f t="shared" ca="1" si="278"/>
        <v>0</v>
      </c>
      <c r="AF205" s="68">
        <f>IF(AF180*$C$205&lt;=$D$205,AF180*$C$205,$D$205)</f>
        <v>0</v>
      </c>
      <c r="AG205" s="68">
        <f>IF(AG180*$C$205&lt;=$D$205,AG180*$C$205,$D$205)</f>
        <v>0</v>
      </c>
      <c r="AH205" s="68">
        <f>IF(AH180*$C$205&lt;=$D$205,AH180*$C$205,$D$205)</f>
        <v>0</v>
      </c>
      <c r="AI205" s="304" t="s">
        <v>321</v>
      </c>
    </row>
    <row r="206" spans="1:35" s="65" customFormat="1">
      <c r="A206" s="145"/>
      <c r="B206" s="69" t="s">
        <v>227</v>
      </c>
      <c r="C206" s="67"/>
      <c r="D206" s="67"/>
      <c r="E206" s="139">
        <v>0</v>
      </c>
      <c r="F206" s="67">
        <f t="shared" ref="F206:Q206" si="284">E206+(F408-F414)*1/($C$211)</f>
        <v>0</v>
      </c>
      <c r="G206" s="67">
        <f t="shared" si="284"/>
        <v>0</v>
      </c>
      <c r="H206" s="67">
        <f t="shared" si="284"/>
        <v>0</v>
      </c>
      <c r="I206" s="67">
        <f t="shared" si="284"/>
        <v>0</v>
      </c>
      <c r="J206" s="67">
        <f t="shared" si="284"/>
        <v>0</v>
      </c>
      <c r="K206" s="67">
        <f t="shared" si="284"/>
        <v>0</v>
      </c>
      <c r="L206" s="67">
        <f t="shared" si="284"/>
        <v>0</v>
      </c>
      <c r="M206" s="67">
        <f t="shared" si="284"/>
        <v>0</v>
      </c>
      <c r="N206" s="67">
        <f t="shared" si="284"/>
        <v>0</v>
      </c>
      <c r="O206" s="67">
        <f t="shared" si="284"/>
        <v>0</v>
      </c>
      <c r="P206" s="67">
        <f t="shared" si="284"/>
        <v>0</v>
      </c>
      <c r="Q206" s="67">
        <f t="shared" si="284"/>
        <v>0</v>
      </c>
      <c r="R206" s="68">
        <f t="shared" si="276"/>
        <v>0</v>
      </c>
      <c r="S206" s="67">
        <f t="shared" ref="S206:AD206" ca="1" si="285">R206+(S408-S414)*1/($C$211)</f>
        <v>0</v>
      </c>
      <c r="T206" s="67">
        <f t="shared" ca="1" si="285"/>
        <v>0</v>
      </c>
      <c r="U206" s="67">
        <f t="shared" ca="1" si="285"/>
        <v>0</v>
      </c>
      <c r="V206" s="67">
        <f t="shared" ca="1" si="285"/>
        <v>0</v>
      </c>
      <c r="W206" s="67">
        <f t="shared" ca="1" si="285"/>
        <v>0</v>
      </c>
      <c r="X206" s="67">
        <f t="shared" ca="1" si="285"/>
        <v>0</v>
      </c>
      <c r="Y206" s="67">
        <f t="shared" ca="1" si="285"/>
        <v>0</v>
      </c>
      <c r="Z206" s="67">
        <f t="shared" ca="1" si="285"/>
        <v>0</v>
      </c>
      <c r="AA206" s="67">
        <f t="shared" ca="1" si="285"/>
        <v>0</v>
      </c>
      <c r="AB206" s="67">
        <f t="shared" ca="1" si="285"/>
        <v>0</v>
      </c>
      <c r="AC206" s="67">
        <f t="shared" ca="1" si="285"/>
        <v>0</v>
      </c>
      <c r="AD206" s="67">
        <f t="shared" ca="1" si="285"/>
        <v>0</v>
      </c>
      <c r="AE206" s="68">
        <f t="shared" ca="1" si="278"/>
        <v>0</v>
      </c>
      <c r="AF206" s="68">
        <f ca="1">AE206+(AF408-AF414)*1/($C$211)</f>
        <v>0</v>
      </c>
      <c r="AG206" s="68">
        <f ca="1">AF206+(AG408-AG414)*1/($C$211)</f>
        <v>0</v>
      </c>
      <c r="AH206" s="68">
        <f ca="1">AG206+(AH408-AH414)*1/($C$211)</f>
        <v>0</v>
      </c>
      <c r="AI206" s="304" t="s">
        <v>321</v>
      </c>
    </row>
    <row r="207" spans="1:35" s="65" customFormat="1">
      <c r="A207" s="145"/>
      <c r="B207" s="69" t="s">
        <v>228</v>
      </c>
      <c r="C207" s="67"/>
      <c r="D207" s="67"/>
      <c r="E207" s="139">
        <v>0</v>
      </c>
      <c r="F207" s="67">
        <f t="shared" ref="F207:Q207" si="286">E207+(F409-F415)*1/($C$212)</f>
        <v>0</v>
      </c>
      <c r="G207" s="67">
        <f t="shared" si="286"/>
        <v>0</v>
      </c>
      <c r="H207" s="67">
        <f t="shared" si="286"/>
        <v>0</v>
      </c>
      <c r="I207" s="67">
        <f t="shared" si="286"/>
        <v>0</v>
      </c>
      <c r="J207" s="67">
        <f t="shared" si="286"/>
        <v>0</v>
      </c>
      <c r="K207" s="67">
        <f t="shared" si="286"/>
        <v>0</v>
      </c>
      <c r="L207" s="67">
        <f t="shared" si="286"/>
        <v>0</v>
      </c>
      <c r="M207" s="67">
        <f t="shared" si="286"/>
        <v>0</v>
      </c>
      <c r="N207" s="67">
        <f t="shared" si="286"/>
        <v>0</v>
      </c>
      <c r="O207" s="67">
        <f t="shared" si="286"/>
        <v>0</v>
      </c>
      <c r="P207" s="67">
        <f t="shared" si="286"/>
        <v>0</v>
      </c>
      <c r="Q207" s="67">
        <f t="shared" si="286"/>
        <v>0</v>
      </c>
      <c r="R207" s="68">
        <f t="shared" si="276"/>
        <v>0</v>
      </c>
      <c r="S207" s="67">
        <f t="shared" ref="S207:AD207" ca="1" si="287">R207+(S409-S415)*1/($C$212)</f>
        <v>0</v>
      </c>
      <c r="T207" s="67">
        <f t="shared" ca="1" si="287"/>
        <v>0</v>
      </c>
      <c r="U207" s="67">
        <f t="shared" ca="1" si="287"/>
        <v>0</v>
      </c>
      <c r="V207" s="67">
        <f t="shared" ca="1" si="287"/>
        <v>0</v>
      </c>
      <c r="W207" s="67">
        <f t="shared" ca="1" si="287"/>
        <v>0</v>
      </c>
      <c r="X207" s="67">
        <f t="shared" ca="1" si="287"/>
        <v>0</v>
      </c>
      <c r="Y207" s="67">
        <f t="shared" ca="1" si="287"/>
        <v>0</v>
      </c>
      <c r="Z207" s="67">
        <f t="shared" ca="1" si="287"/>
        <v>0</v>
      </c>
      <c r="AA207" s="67">
        <f t="shared" ca="1" si="287"/>
        <v>0</v>
      </c>
      <c r="AB207" s="67">
        <f t="shared" ca="1" si="287"/>
        <v>0</v>
      </c>
      <c r="AC207" s="67">
        <f t="shared" ca="1" si="287"/>
        <v>0</v>
      </c>
      <c r="AD207" s="67">
        <f t="shared" ca="1" si="287"/>
        <v>0</v>
      </c>
      <c r="AE207" s="68">
        <f t="shared" ca="1" si="278"/>
        <v>0</v>
      </c>
      <c r="AF207" s="68">
        <f ca="1">AE207+(AF409-AF415)*1/($C$212)</f>
        <v>0</v>
      </c>
      <c r="AG207" s="68">
        <f ca="1">AF207+(AG409-AG415)*1/($C$212)</f>
        <v>0</v>
      </c>
      <c r="AH207" s="68">
        <f ca="1">AG207+(AH409-AH415)*1/($C$212)</f>
        <v>0</v>
      </c>
      <c r="AI207" s="304" t="s">
        <v>321</v>
      </c>
    </row>
    <row r="208" spans="1:35">
      <c r="A208" s="83" t="s">
        <v>229</v>
      </c>
      <c r="B208" s="102"/>
      <c r="C208" s="85"/>
      <c r="D208" s="85"/>
      <c r="E208" s="85">
        <f t="shared" ref="E208:Q208" si="288">SUM(E202:E207)</f>
        <v>0</v>
      </c>
      <c r="F208" s="103">
        <f t="shared" ca="1" si="288"/>
        <v>3030</v>
      </c>
      <c r="G208" s="103">
        <f t="shared" ca="1" si="288"/>
        <v>3030</v>
      </c>
      <c r="H208" s="103">
        <f t="shared" ca="1" si="288"/>
        <v>8030</v>
      </c>
      <c r="I208" s="103">
        <f t="shared" ca="1" si="288"/>
        <v>10898.17</v>
      </c>
      <c r="J208" s="103">
        <f t="shared" ca="1" si="288"/>
        <v>17332.260000000002</v>
      </c>
      <c r="K208" s="103">
        <f t="shared" ca="1" si="288"/>
        <v>28101.34</v>
      </c>
      <c r="L208" s="103">
        <f t="shared" ca="1" si="288"/>
        <v>34535.43</v>
      </c>
      <c r="M208" s="103">
        <f t="shared" ca="1" si="288"/>
        <v>50310.369999999995</v>
      </c>
      <c r="N208" s="103">
        <f t="shared" ca="1" si="288"/>
        <v>51744.45</v>
      </c>
      <c r="O208" s="103">
        <f t="shared" ca="1" si="288"/>
        <v>63178.54</v>
      </c>
      <c r="P208" s="103">
        <f t="shared" ca="1" si="288"/>
        <v>108992.08</v>
      </c>
      <c r="Q208" s="103">
        <f t="shared" ca="1" si="288"/>
        <v>94728.42</v>
      </c>
      <c r="R208" s="104">
        <f t="shared" ca="1" si="276"/>
        <v>94728.42</v>
      </c>
      <c r="S208" s="103">
        <f ca="1">SUM(S202:S207)</f>
        <v>161365.49666666664</v>
      </c>
      <c r="T208" s="103">
        <f t="shared" ref="T208:AD208" ca="1" si="289">SUM(T202:T207)</f>
        <v>183266.15333333332</v>
      </c>
      <c r="U208" s="103">
        <f t="shared" ca="1" si="289"/>
        <v>189957.49000000002</v>
      </c>
      <c r="V208" s="103">
        <f t="shared" ca="1" si="289"/>
        <v>209855.53</v>
      </c>
      <c r="W208" s="103">
        <f t="shared" ca="1" si="289"/>
        <v>233336.18</v>
      </c>
      <c r="X208" s="103">
        <f t="shared" ca="1" si="289"/>
        <v>261043.31</v>
      </c>
      <c r="Y208" s="103">
        <f t="shared" ca="1" si="289"/>
        <v>310460.87999999995</v>
      </c>
      <c r="Z208" s="103">
        <f t="shared" ca="1" si="289"/>
        <v>326129.90999999997</v>
      </c>
      <c r="AA208" s="103">
        <f t="shared" ca="1" si="289"/>
        <v>370540.02999999997</v>
      </c>
      <c r="AB208" s="103">
        <f t="shared" ca="1" si="289"/>
        <v>402871.66</v>
      </c>
      <c r="AC208" s="103">
        <f t="shared" ca="1" si="289"/>
        <v>493517.62999999995</v>
      </c>
      <c r="AD208" s="103">
        <f t="shared" ca="1" si="289"/>
        <v>491537.48</v>
      </c>
      <c r="AE208" s="104">
        <f t="shared" ca="1" si="278"/>
        <v>491537.48</v>
      </c>
      <c r="AF208" s="104">
        <f ca="1">SUM(AF202:AF207)</f>
        <v>787570.91941666673</v>
      </c>
      <c r="AG208" s="104">
        <f ca="1">SUM(AG202:AG207)</f>
        <v>1185422.9993500002</v>
      </c>
      <c r="AH208" s="104">
        <f ca="1">SUM(AH202:AH207)</f>
        <v>1559993.2885000003</v>
      </c>
      <c r="AI208" s="304" t="s">
        <v>321</v>
      </c>
    </row>
    <row r="209" spans="1:35">
      <c r="A209" s="96"/>
      <c r="B209" s="97"/>
      <c r="C209" s="98"/>
      <c r="D209" s="98"/>
      <c r="E209" s="98"/>
      <c r="F209" s="99"/>
      <c r="G209" s="99"/>
      <c r="H209" s="99"/>
      <c r="I209" s="99"/>
      <c r="J209" s="99"/>
      <c r="K209" s="99"/>
      <c r="L209" s="99"/>
      <c r="M209" s="99"/>
      <c r="N209" s="99"/>
      <c r="O209" s="99"/>
      <c r="P209" s="99"/>
      <c r="Q209" s="99"/>
      <c r="R209" s="100"/>
      <c r="S209" s="99"/>
      <c r="T209" s="99"/>
      <c r="U209" s="99"/>
      <c r="V209" s="99"/>
      <c r="W209" s="99"/>
      <c r="X209" s="99"/>
      <c r="Y209" s="99"/>
      <c r="Z209" s="99"/>
      <c r="AA209" s="99"/>
      <c r="AB209" s="99"/>
      <c r="AC209" s="99"/>
      <c r="AD209" s="99"/>
      <c r="AE209" s="100"/>
      <c r="AF209" s="100"/>
      <c r="AG209" s="100"/>
      <c r="AH209" s="100"/>
      <c r="AI209" s="304" t="s">
        <v>321</v>
      </c>
    </row>
    <row r="210" spans="1:35">
      <c r="A210" s="96" t="s">
        <v>230</v>
      </c>
      <c r="B210" s="97"/>
      <c r="C210" s="98"/>
      <c r="D210" s="98"/>
      <c r="E210" s="98"/>
      <c r="F210" s="99"/>
      <c r="G210" s="99"/>
      <c r="H210" s="99"/>
      <c r="I210" s="99"/>
      <c r="J210" s="99"/>
      <c r="K210" s="99"/>
      <c r="L210" s="99"/>
      <c r="M210" s="99"/>
      <c r="N210" s="99"/>
      <c r="O210" s="99"/>
      <c r="P210" s="99"/>
      <c r="Q210" s="99"/>
      <c r="R210" s="100"/>
      <c r="S210" s="99"/>
      <c r="T210" s="99"/>
      <c r="U210" s="99"/>
      <c r="V210" s="99"/>
      <c r="W210" s="99"/>
      <c r="X210" s="99"/>
      <c r="Y210" s="99"/>
      <c r="Z210" s="99"/>
      <c r="AA210" s="99"/>
      <c r="AB210" s="99"/>
      <c r="AC210" s="99"/>
      <c r="AD210" s="99"/>
      <c r="AE210" s="100"/>
      <c r="AF210" s="100"/>
      <c r="AG210" s="100"/>
      <c r="AH210" s="100"/>
      <c r="AI210" s="304" t="s">
        <v>321</v>
      </c>
    </row>
    <row r="211" spans="1:35" s="65" customFormat="1">
      <c r="A211" s="145"/>
      <c r="B211" s="69" t="str">
        <f>"Capital Equipment Lease ("&amp;$C$211&amp;" years)"</f>
        <v>Capital Equipment Lease (3 years)</v>
      </c>
      <c r="C211" s="146">
        <f>Assumptions!I48</f>
        <v>3</v>
      </c>
      <c r="D211" s="67"/>
      <c r="E211" s="139">
        <v>0</v>
      </c>
      <c r="F211" s="67">
        <f t="shared" ref="F211:Q211" si="290">E211+(F408-F414)*($C$211-1)/($C$211)</f>
        <v>0</v>
      </c>
      <c r="G211" s="67">
        <f t="shared" si="290"/>
        <v>0</v>
      </c>
      <c r="H211" s="67">
        <f t="shared" si="290"/>
        <v>0</v>
      </c>
      <c r="I211" s="67">
        <f t="shared" si="290"/>
        <v>0</v>
      </c>
      <c r="J211" s="67">
        <f t="shared" si="290"/>
        <v>0</v>
      </c>
      <c r="K211" s="67">
        <f t="shared" si="290"/>
        <v>0</v>
      </c>
      <c r="L211" s="67">
        <f t="shared" si="290"/>
        <v>0</v>
      </c>
      <c r="M211" s="67">
        <f t="shared" si="290"/>
        <v>0</v>
      </c>
      <c r="N211" s="67">
        <f t="shared" si="290"/>
        <v>0</v>
      </c>
      <c r="O211" s="67">
        <f t="shared" si="290"/>
        <v>0</v>
      </c>
      <c r="P211" s="67">
        <f t="shared" si="290"/>
        <v>0</v>
      </c>
      <c r="Q211" s="67">
        <f t="shared" si="290"/>
        <v>0</v>
      </c>
      <c r="R211" s="68">
        <f>Q211</f>
        <v>0</v>
      </c>
      <c r="S211" s="67">
        <f t="shared" ref="S211:AD211" ca="1" si="291">R211+(S408-S414)*($C$211-1)/($C$211)</f>
        <v>0</v>
      </c>
      <c r="T211" s="67">
        <f t="shared" ca="1" si="291"/>
        <v>0</v>
      </c>
      <c r="U211" s="67">
        <f t="shared" ca="1" si="291"/>
        <v>0</v>
      </c>
      <c r="V211" s="67">
        <f t="shared" ca="1" si="291"/>
        <v>0</v>
      </c>
      <c r="W211" s="67">
        <f t="shared" ca="1" si="291"/>
        <v>0</v>
      </c>
      <c r="X211" s="67">
        <f t="shared" ca="1" si="291"/>
        <v>0</v>
      </c>
      <c r="Y211" s="67">
        <f t="shared" ca="1" si="291"/>
        <v>0</v>
      </c>
      <c r="Z211" s="67">
        <f t="shared" ca="1" si="291"/>
        <v>0</v>
      </c>
      <c r="AA211" s="67">
        <f t="shared" ca="1" si="291"/>
        <v>0</v>
      </c>
      <c r="AB211" s="67">
        <f t="shared" ca="1" si="291"/>
        <v>0</v>
      </c>
      <c r="AC211" s="67">
        <f t="shared" ca="1" si="291"/>
        <v>0</v>
      </c>
      <c r="AD211" s="67">
        <f t="shared" ca="1" si="291"/>
        <v>0</v>
      </c>
      <c r="AE211" s="68">
        <f ca="1">AD211</f>
        <v>0</v>
      </c>
      <c r="AF211" s="68">
        <f ca="1">AE211+(AF408-AF414)*($C$211-1)/($C$211)</f>
        <v>0</v>
      </c>
      <c r="AG211" s="68">
        <f ca="1">AF211+(AG408-AG414)*($C$211-1)/($C$211)</f>
        <v>0</v>
      </c>
      <c r="AH211" s="68">
        <f ca="1">AG211+(AH408-AH414)*($C$211-1)/($C$211)</f>
        <v>0</v>
      </c>
      <c r="AI211" s="304" t="s">
        <v>321</v>
      </c>
    </row>
    <row r="212" spans="1:35" s="65" customFormat="1">
      <c r="A212" s="145"/>
      <c r="B212" s="69" t="str">
        <f>"Long Term Debt ("&amp;$C$212&amp;" years)"</f>
        <v>Long Term Debt (5 years)</v>
      </c>
      <c r="C212" s="146">
        <f>Assumptions!I49</f>
        <v>5</v>
      </c>
      <c r="D212" s="67"/>
      <c r="E212" s="139">
        <v>0</v>
      </c>
      <c r="F212" s="67">
        <f t="shared" ref="F212:Q212" si="292">E212+(F409-F415)*($C$212-1)/($C$212)</f>
        <v>0</v>
      </c>
      <c r="G212" s="67">
        <f t="shared" si="292"/>
        <v>0</v>
      </c>
      <c r="H212" s="67">
        <f t="shared" si="292"/>
        <v>0</v>
      </c>
      <c r="I212" s="67">
        <f t="shared" si="292"/>
        <v>0</v>
      </c>
      <c r="J212" s="67">
        <f t="shared" si="292"/>
        <v>0</v>
      </c>
      <c r="K212" s="67">
        <f t="shared" si="292"/>
        <v>0</v>
      </c>
      <c r="L212" s="67">
        <f t="shared" si="292"/>
        <v>0</v>
      </c>
      <c r="M212" s="67">
        <f t="shared" si="292"/>
        <v>0</v>
      </c>
      <c r="N212" s="67">
        <f t="shared" si="292"/>
        <v>0</v>
      </c>
      <c r="O212" s="67">
        <f t="shared" si="292"/>
        <v>0</v>
      </c>
      <c r="P212" s="67">
        <f t="shared" si="292"/>
        <v>0</v>
      </c>
      <c r="Q212" s="67">
        <f t="shared" si="292"/>
        <v>0</v>
      </c>
      <c r="R212" s="68">
        <f>Q212</f>
        <v>0</v>
      </c>
      <c r="S212" s="67">
        <f t="shared" ref="S212:AD212" ca="1" si="293">R212+(S409-S415)*($C$212-1)/($C$212)</f>
        <v>0</v>
      </c>
      <c r="T212" s="67">
        <f t="shared" ca="1" si="293"/>
        <v>0</v>
      </c>
      <c r="U212" s="67">
        <f t="shared" ca="1" si="293"/>
        <v>0</v>
      </c>
      <c r="V212" s="67">
        <f t="shared" ca="1" si="293"/>
        <v>0</v>
      </c>
      <c r="W212" s="67">
        <f t="shared" ca="1" si="293"/>
        <v>0</v>
      </c>
      <c r="X212" s="67">
        <f t="shared" ca="1" si="293"/>
        <v>0</v>
      </c>
      <c r="Y212" s="67">
        <f t="shared" ca="1" si="293"/>
        <v>0</v>
      </c>
      <c r="Z212" s="67">
        <f t="shared" ca="1" si="293"/>
        <v>0</v>
      </c>
      <c r="AA212" s="67">
        <f t="shared" ca="1" si="293"/>
        <v>0</v>
      </c>
      <c r="AB212" s="67">
        <f t="shared" ca="1" si="293"/>
        <v>0</v>
      </c>
      <c r="AC212" s="67">
        <f t="shared" ca="1" si="293"/>
        <v>0</v>
      </c>
      <c r="AD212" s="67">
        <f t="shared" ca="1" si="293"/>
        <v>0</v>
      </c>
      <c r="AE212" s="68">
        <f ca="1">AD212</f>
        <v>0</v>
      </c>
      <c r="AF212" s="68">
        <f ca="1">AE212+(AF409-AF415)*($C$212-1)/($C$212)</f>
        <v>0</v>
      </c>
      <c r="AG212" s="68">
        <f ca="1">AF212+(AG409-AG415)*($C$212-1)/($C$212)</f>
        <v>0</v>
      </c>
      <c r="AH212" s="68">
        <f ca="1">AG212+(AH409-AH415)*($C$212-1)/($C$212)</f>
        <v>0</v>
      </c>
      <c r="AI212" s="304" t="s">
        <v>321</v>
      </c>
    </row>
    <row r="213" spans="1:35">
      <c r="A213" s="83" t="s">
        <v>231</v>
      </c>
      <c r="B213" s="102"/>
      <c r="C213" s="85"/>
      <c r="D213" s="85"/>
      <c r="E213" s="85">
        <f>SUM(E211:E212)</f>
        <v>0</v>
      </c>
      <c r="F213" s="85">
        <f>SUM(F211:F212)</f>
        <v>0</v>
      </c>
      <c r="G213" s="85">
        <f t="shared" ref="G213:Q213" si="294">SUM(G211:G212)</f>
        <v>0</v>
      </c>
      <c r="H213" s="85">
        <f t="shared" si="294"/>
        <v>0</v>
      </c>
      <c r="I213" s="85">
        <f t="shared" si="294"/>
        <v>0</v>
      </c>
      <c r="J213" s="85">
        <f t="shared" si="294"/>
        <v>0</v>
      </c>
      <c r="K213" s="85">
        <f t="shared" si="294"/>
        <v>0</v>
      </c>
      <c r="L213" s="85">
        <f t="shared" si="294"/>
        <v>0</v>
      </c>
      <c r="M213" s="85">
        <f t="shared" si="294"/>
        <v>0</v>
      </c>
      <c r="N213" s="85">
        <f t="shared" si="294"/>
        <v>0</v>
      </c>
      <c r="O213" s="85">
        <f t="shared" si="294"/>
        <v>0</v>
      </c>
      <c r="P213" s="85">
        <f t="shared" si="294"/>
        <v>0</v>
      </c>
      <c r="Q213" s="85">
        <f t="shared" si="294"/>
        <v>0</v>
      </c>
      <c r="R213" s="104">
        <f>Q213</f>
        <v>0</v>
      </c>
      <c r="S213" s="85">
        <f ca="1">SUM(S211:S212)</f>
        <v>0</v>
      </c>
      <c r="T213" s="85">
        <f t="shared" ref="T213:AH213" ca="1" si="295">SUM(T211:T212)</f>
        <v>0</v>
      </c>
      <c r="U213" s="85">
        <f t="shared" ca="1" si="295"/>
        <v>0</v>
      </c>
      <c r="V213" s="85">
        <f t="shared" ca="1" si="295"/>
        <v>0</v>
      </c>
      <c r="W213" s="85">
        <f t="shared" ca="1" si="295"/>
        <v>0</v>
      </c>
      <c r="X213" s="85">
        <f t="shared" ca="1" si="295"/>
        <v>0</v>
      </c>
      <c r="Y213" s="85">
        <f t="shared" ca="1" si="295"/>
        <v>0</v>
      </c>
      <c r="Z213" s="85">
        <f t="shared" ca="1" si="295"/>
        <v>0</v>
      </c>
      <c r="AA213" s="85">
        <f t="shared" ca="1" si="295"/>
        <v>0</v>
      </c>
      <c r="AB213" s="85">
        <f t="shared" ca="1" si="295"/>
        <v>0</v>
      </c>
      <c r="AC213" s="85">
        <f t="shared" ca="1" si="295"/>
        <v>0</v>
      </c>
      <c r="AD213" s="85">
        <f t="shared" ca="1" si="295"/>
        <v>0</v>
      </c>
      <c r="AE213" s="104">
        <f ca="1">AD213</f>
        <v>0</v>
      </c>
      <c r="AF213" s="104">
        <f t="shared" ca="1" si="295"/>
        <v>0</v>
      </c>
      <c r="AG213" s="104">
        <f t="shared" ca="1" si="295"/>
        <v>0</v>
      </c>
      <c r="AH213" s="104">
        <f t="shared" ca="1" si="295"/>
        <v>0</v>
      </c>
      <c r="AI213" s="304" t="s">
        <v>321</v>
      </c>
    </row>
    <row r="214" spans="1:35">
      <c r="A214" s="96"/>
      <c r="B214" s="97"/>
      <c r="C214" s="98"/>
      <c r="D214" s="98"/>
      <c r="E214" s="98"/>
      <c r="F214" s="99"/>
      <c r="G214" s="99"/>
      <c r="H214" s="99"/>
      <c r="I214" s="99"/>
      <c r="J214" s="99"/>
      <c r="K214" s="99"/>
      <c r="L214" s="99"/>
      <c r="M214" s="99"/>
      <c r="N214" s="99"/>
      <c r="O214" s="99"/>
      <c r="P214" s="99"/>
      <c r="Q214" s="99"/>
      <c r="R214" s="100"/>
      <c r="S214" s="99"/>
      <c r="T214" s="99"/>
      <c r="U214" s="99"/>
      <c r="V214" s="99"/>
      <c r="W214" s="99"/>
      <c r="X214" s="99"/>
      <c r="Y214" s="99"/>
      <c r="Z214" s="99"/>
      <c r="AA214" s="99"/>
      <c r="AB214" s="99"/>
      <c r="AC214" s="99"/>
      <c r="AD214" s="99"/>
      <c r="AE214" s="100"/>
      <c r="AF214" s="100"/>
      <c r="AG214" s="100"/>
      <c r="AH214" s="100"/>
      <c r="AI214" s="304" t="s">
        <v>321</v>
      </c>
    </row>
    <row r="215" spans="1:35">
      <c r="A215" s="83" t="s">
        <v>232</v>
      </c>
      <c r="B215" s="102"/>
      <c r="C215" s="85"/>
      <c r="D215" s="85"/>
      <c r="E215" s="85">
        <f t="shared" ref="E215:Q215" si="296">E208+E213</f>
        <v>0</v>
      </c>
      <c r="F215" s="103">
        <f t="shared" ca="1" si="296"/>
        <v>3030</v>
      </c>
      <c r="G215" s="103">
        <f t="shared" ca="1" si="296"/>
        <v>3030</v>
      </c>
      <c r="H215" s="103">
        <f t="shared" ca="1" si="296"/>
        <v>8030</v>
      </c>
      <c r="I215" s="103">
        <f t="shared" ca="1" si="296"/>
        <v>10898.17</v>
      </c>
      <c r="J215" s="103">
        <f t="shared" ca="1" si="296"/>
        <v>17332.260000000002</v>
      </c>
      <c r="K215" s="103">
        <f t="shared" ca="1" si="296"/>
        <v>28101.34</v>
      </c>
      <c r="L215" s="103">
        <f t="shared" ca="1" si="296"/>
        <v>34535.43</v>
      </c>
      <c r="M215" s="103">
        <f t="shared" ca="1" si="296"/>
        <v>50310.369999999995</v>
      </c>
      <c r="N215" s="103">
        <f t="shared" ca="1" si="296"/>
        <v>51744.45</v>
      </c>
      <c r="O215" s="103">
        <f t="shared" ca="1" si="296"/>
        <v>63178.54</v>
      </c>
      <c r="P215" s="103">
        <f t="shared" ca="1" si="296"/>
        <v>108992.08</v>
      </c>
      <c r="Q215" s="103">
        <f t="shared" ca="1" si="296"/>
        <v>94728.42</v>
      </c>
      <c r="R215" s="104">
        <f ca="1">Q215</f>
        <v>94728.42</v>
      </c>
      <c r="S215" s="103">
        <f ca="1">S208+S213</f>
        <v>161365.49666666664</v>
      </c>
      <c r="T215" s="103">
        <f t="shared" ref="T215:AD215" ca="1" si="297">T208+T213</f>
        <v>183266.15333333332</v>
      </c>
      <c r="U215" s="103">
        <f t="shared" ca="1" si="297"/>
        <v>189957.49000000002</v>
      </c>
      <c r="V215" s="103">
        <f t="shared" ca="1" si="297"/>
        <v>209855.53</v>
      </c>
      <c r="W215" s="103">
        <f t="shared" ca="1" si="297"/>
        <v>233336.18</v>
      </c>
      <c r="X215" s="103">
        <f t="shared" ca="1" si="297"/>
        <v>261043.31</v>
      </c>
      <c r="Y215" s="103">
        <f t="shared" ca="1" si="297"/>
        <v>310460.87999999995</v>
      </c>
      <c r="Z215" s="103">
        <f t="shared" ca="1" si="297"/>
        <v>326129.90999999997</v>
      </c>
      <c r="AA215" s="103">
        <f t="shared" ca="1" si="297"/>
        <v>370540.02999999997</v>
      </c>
      <c r="AB215" s="103">
        <f t="shared" ca="1" si="297"/>
        <v>402871.66</v>
      </c>
      <c r="AC215" s="103">
        <f t="shared" ca="1" si="297"/>
        <v>493517.62999999995</v>
      </c>
      <c r="AD215" s="103">
        <f t="shared" ca="1" si="297"/>
        <v>491537.48</v>
      </c>
      <c r="AE215" s="104">
        <f ca="1">AD215</f>
        <v>491537.48</v>
      </c>
      <c r="AF215" s="104">
        <f ca="1">AF208+AF213</f>
        <v>787570.91941666673</v>
      </c>
      <c r="AG215" s="104">
        <f ca="1">AG208+AG213</f>
        <v>1185422.9993500002</v>
      </c>
      <c r="AH215" s="104">
        <f ca="1">AH208+AH213</f>
        <v>1559993.2885000003</v>
      </c>
      <c r="AI215" s="304" t="s">
        <v>321</v>
      </c>
    </row>
    <row r="216" spans="1:35">
      <c r="A216" s="96"/>
      <c r="B216" s="97"/>
      <c r="C216" s="98"/>
      <c r="D216" s="98"/>
      <c r="E216" s="98"/>
      <c r="F216" s="99"/>
      <c r="G216" s="99"/>
      <c r="H216" s="99"/>
      <c r="I216" s="99"/>
      <c r="J216" s="99"/>
      <c r="K216" s="99"/>
      <c r="L216" s="99"/>
      <c r="M216" s="99"/>
      <c r="N216" s="99"/>
      <c r="O216" s="99"/>
      <c r="P216" s="99"/>
      <c r="Q216" s="99"/>
      <c r="R216" s="100"/>
      <c r="S216" s="99"/>
      <c r="T216" s="99"/>
      <c r="U216" s="99"/>
      <c r="V216" s="99"/>
      <c r="W216" s="99"/>
      <c r="X216" s="99"/>
      <c r="Y216" s="99"/>
      <c r="Z216" s="99"/>
      <c r="AA216" s="99"/>
      <c r="AB216" s="99"/>
      <c r="AC216" s="99"/>
      <c r="AD216" s="99"/>
      <c r="AE216" s="100"/>
      <c r="AF216" s="100"/>
      <c r="AG216" s="100"/>
      <c r="AH216" s="100"/>
      <c r="AI216" s="304" t="s">
        <v>321</v>
      </c>
    </row>
    <row r="217" spans="1:35">
      <c r="A217" s="96" t="s">
        <v>233</v>
      </c>
      <c r="B217" s="97"/>
      <c r="C217" s="98"/>
      <c r="D217" s="98"/>
      <c r="E217" s="98"/>
      <c r="F217" s="99"/>
      <c r="G217" s="99"/>
      <c r="H217" s="99"/>
      <c r="I217" s="99"/>
      <c r="J217" s="99"/>
      <c r="K217" s="99"/>
      <c r="L217" s="99"/>
      <c r="M217" s="99"/>
      <c r="N217" s="99"/>
      <c r="O217" s="99"/>
      <c r="P217" s="99"/>
      <c r="Q217" s="99"/>
      <c r="R217" s="100"/>
      <c r="S217" s="99"/>
      <c r="T217" s="99"/>
      <c r="U217" s="99"/>
      <c r="V217" s="99"/>
      <c r="W217" s="99"/>
      <c r="X217" s="99"/>
      <c r="Y217" s="99"/>
      <c r="Z217" s="99"/>
      <c r="AA217" s="99"/>
      <c r="AB217" s="99"/>
      <c r="AC217" s="99"/>
      <c r="AD217" s="99"/>
      <c r="AE217" s="100"/>
      <c r="AF217" s="100"/>
      <c r="AG217" s="100"/>
      <c r="AH217" s="100"/>
      <c r="AI217" s="304" t="s">
        <v>321</v>
      </c>
    </row>
    <row r="218" spans="1:35">
      <c r="A218" s="96"/>
      <c r="B218" s="97" t="s">
        <v>234</v>
      </c>
      <c r="C218" s="98"/>
      <c r="D218" s="98"/>
      <c r="E218" s="147">
        <v>0</v>
      </c>
      <c r="F218" s="67">
        <f t="shared" ref="F218:Q218" si="298">E218+F422-F427</f>
        <v>0</v>
      </c>
      <c r="G218" s="67">
        <f t="shared" si="298"/>
        <v>0</v>
      </c>
      <c r="H218" s="67">
        <f t="shared" si="298"/>
        <v>0</v>
      </c>
      <c r="I218" s="67">
        <f t="shared" si="298"/>
        <v>150000</v>
      </c>
      <c r="J218" s="67">
        <f t="shared" si="298"/>
        <v>150000</v>
      </c>
      <c r="K218" s="67">
        <f t="shared" si="298"/>
        <v>150000</v>
      </c>
      <c r="L218" s="67">
        <f t="shared" si="298"/>
        <v>150000</v>
      </c>
      <c r="M218" s="67">
        <f t="shared" si="298"/>
        <v>150000</v>
      </c>
      <c r="N218" s="67">
        <f t="shared" si="298"/>
        <v>150000</v>
      </c>
      <c r="O218" s="67">
        <f t="shared" si="298"/>
        <v>150000</v>
      </c>
      <c r="P218" s="67">
        <f t="shared" si="298"/>
        <v>150000</v>
      </c>
      <c r="Q218" s="67">
        <f t="shared" si="298"/>
        <v>150000</v>
      </c>
      <c r="R218" s="68">
        <f>Q218</f>
        <v>150000</v>
      </c>
      <c r="S218" s="67">
        <f t="shared" ref="S218:AD218" si="299">R218+S422-S427</f>
        <v>950000</v>
      </c>
      <c r="T218" s="67">
        <f t="shared" si="299"/>
        <v>950000</v>
      </c>
      <c r="U218" s="67">
        <f t="shared" si="299"/>
        <v>950000</v>
      </c>
      <c r="V218" s="67">
        <f t="shared" si="299"/>
        <v>950000</v>
      </c>
      <c r="W218" s="67">
        <f t="shared" si="299"/>
        <v>950000</v>
      </c>
      <c r="X218" s="67">
        <f t="shared" si="299"/>
        <v>950000</v>
      </c>
      <c r="Y218" s="67">
        <f t="shared" si="299"/>
        <v>950000</v>
      </c>
      <c r="Z218" s="67">
        <f t="shared" si="299"/>
        <v>950000</v>
      </c>
      <c r="AA218" s="67">
        <f t="shared" si="299"/>
        <v>950000</v>
      </c>
      <c r="AB218" s="67">
        <f t="shared" si="299"/>
        <v>950000</v>
      </c>
      <c r="AC218" s="67">
        <f t="shared" si="299"/>
        <v>950000</v>
      </c>
      <c r="AD218" s="67">
        <f t="shared" si="299"/>
        <v>950000</v>
      </c>
      <c r="AE218" s="68">
        <f>AD218</f>
        <v>950000</v>
      </c>
      <c r="AF218" s="68">
        <f t="shared" ref="AF218:AH219" si="300">AE218+AF422-AF427</f>
        <v>950000</v>
      </c>
      <c r="AG218" s="68">
        <f t="shared" si="300"/>
        <v>950000</v>
      </c>
      <c r="AH218" s="68">
        <f t="shared" si="300"/>
        <v>950000</v>
      </c>
      <c r="AI218" s="304" t="s">
        <v>321</v>
      </c>
    </row>
    <row r="219" spans="1:35">
      <c r="A219" s="96"/>
      <c r="B219" s="97" t="s">
        <v>235</v>
      </c>
      <c r="C219" s="98"/>
      <c r="D219" s="98"/>
      <c r="E219" s="147">
        <v>0</v>
      </c>
      <c r="F219" s="67">
        <f t="shared" ref="F219:Q219" si="301">E219+F423-F428</f>
        <v>0</v>
      </c>
      <c r="G219" s="67">
        <f t="shared" si="301"/>
        <v>0</v>
      </c>
      <c r="H219" s="67">
        <f t="shared" si="301"/>
        <v>0</v>
      </c>
      <c r="I219" s="67">
        <f t="shared" si="301"/>
        <v>0</v>
      </c>
      <c r="J219" s="67">
        <f t="shared" si="301"/>
        <v>0</v>
      </c>
      <c r="K219" s="67">
        <f t="shared" si="301"/>
        <v>0</v>
      </c>
      <c r="L219" s="67">
        <f t="shared" si="301"/>
        <v>0</v>
      </c>
      <c r="M219" s="67">
        <f t="shared" si="301"/>
        <v>0</v>
      </c>
      <c r="N219" s="67">
        <f t="shared" si="301"/>
        <v>0</v>
      </c>
      <c r="O219" s="67">
        <f t="shared" si="301"/>
        <v>0</v>
      </c>
      <c r="P219" s="67">
        <f t="shared" si="301"/>
        <v>0</v>
      </c>
      <c r="Q219" s="67">
        <f t="shared" si="301"/>
        <v>0</v>
      </c>
      <c r="R219" s="68">
        <f>Q219</f>
        <v>0</v>
      </c>
      <c r="S219" s="67">
        <f t="shared" ref="S219:AD219" si="302">R219+S423-S428</f>
        <v>0</v>
      </c>
      <c r="T219" s="67">
        <f t="shared" si="302"/>
        <v>0</v>
      </c>
      <c r="U219" s="67">
        <f t="shared" si="302"/>
        <v>0</v>
      </c>
      <c r="V219" s="67">
        <f t="shared" si="302"/>
        <v>0</v>
      </c>
      <c r="W219" s="67">
        <f t="shared" si="302"/>
        <v>0</v>
      </c>
      <c r="X219" s="67">
        <f t="shared" si="302"/>
        <v>0</v>
      </c>
      <c r="Y219" s="67">
        <f t="shared" si="302"/>
        <v>0</v>
      </c>
      <c r="Z219" s="67">
        <f t="shared" si="302"/>
        <v>0</v>
      </c>
      <c r="AA219" s="67">
        <f t="shared" si="302"/>
        <v>0</v>
      </c>
      <c r="AB219" s="67">
        <f t="shared" si="302"/>
        <v>0</v>
      </c>
      <c r="AC219" s="67">
        <f t="shared" si="302"/>
        <v>0</v>
      </c>
      <c r="AD219" s="67">
        <f t="shared" si="302"/>
        <v>0</v>
      </c>
      <c r="AE219" s="68">
        <f>AD219</f>
        <v>0</v>
      </c>
      <c r="AF219" s="68">
        <f t="shared" si="300"/>
        <v>0</v>
      </c>
      <c r="AG219" s="68">
        <f t="shared" si="300"/>
        <v>0</v>
      </c>
      <c r="AH219" s="68">
        <f t="shared" si="300"/>
        <v>0</v>
      </c>
      <c r="AI219" s="304" t="s">
        <v>321</v>
      </c>
    </row>
    <row r="220" spans="1:35">
      <c r="A220" s="96"/>
      <c r="B220" s="97" t="s">
        <v>236</v>
      </c>
      <c r="C220" s="98"/>
      <c r="D220" s="98"/>
      <c r="E220" s="98">
        <f>E197-E215-SUM(E218:E219)</f>
        <v>100000</v>
      </c>
      <c r="F220" s="99">
        <f ca="1">F166+E220</f>
        <v>92490.833333333328</v>
      </c>
      <c r="G220" s="99">
        <f t="shared" ref="G220:Q220" ca="1" si="303">G166+F220</f>
        <v>84981.666666666657</v>
      </c>
      <c r="H220" s="99">
        <f t="shared" ca="1" si="303"/>
        <v>62472.499999999993</v>
      </c>
      <c r="I220" s="99">
        <f t="shared" ca="1" si="303"/>
        <v>42135.16333333333</v>
      </c>
      <c r="J220" s="99">
        <f t="shared" ca="1" si="303"/>
        <v>27883.736666666664</v>
      </c>
      <c r="K220" s="99">
        <f ca="1">K166+J220</f>
        <v>-6339.6866666666756</v>
      </c>
      <c r="L220" s="99">
        <f t="shared" ca="1" si="303"/>
        <v>-44477.200000000012</v>
      </c>
      <c r="M220" s="99">
        <f t="shared" ca="1" si="303"/>
        <v>-70669.65333333335</v>
      </c>
      <c r="N220" s="99">
        <f t="shared" ca="1" si="303"/>
        <v>-95776.186666666676</v>
      </c>
      <c r="O220" s="99">
        <f t="shared" ca="1" si="303"/>
        <v>-129796.81</v>
      </c>
      <c r="P220" s="99">
        <f t="shared" ca="1" si="303"/>
        <v>-164270.97333333333</v>
      </c>
      <c r="Q220" s="99">
        <f t="shared" ca="1" si="303"/>
        <v>-174401.47666666665</v>
      </c>
      <c r="R220" s="100">
        <f ca="1">Q220</f>
        <v>-174401.47666666665</v>
      </c>
      <c r="S220" s="99">
        <f ca="1">S166+Q220</f>
        <v>-250372.9733333333</v>
      </c>
      <c r="T220" s="99">
        <f t="shared" ref="T220:AD220" ca="1" si="304">T166+S220</f>
        <v>-331064.37333333329</v>
      </c>
      <c r="U220" s="99">
        <f t="shared" ca="1" si="304"/>
        <v>-427412.77266666666</v>
      </c>
      <c r="V220" s="99">
        <f t="shared" ca="1" si="304"/>
        <v>-513847.61199999996</v>
      </c>
      <c r="W220" s="99">
        <f t="shared" ca="1" si="304"/>
        <v>-558585.91733333329</v>
      </c>
      <c r="X220" s="99">
        <f t="shared" ca="1" si="304"/>
        <v>-589521.91266666655</v>
      </c>
      <c r="Y220" s="99">
        <f t="shared" ca="1" si="304"/>
        <v>-620894.74199999985</v>
      </c>
      <c r="Z220" s="99">
        <f t="shared" ca="1" si="304"/>
        <v>-610138.88933333312</v>
      </c>
      <c r="AA220" s="99">
        <f t="shared" ca="1" si="304"/>
        <v>-575591.87666666647</v>
      </c>
      <c r="AB220" s="99">
        <f t="shared" ca="1" si="304"/>
        <v>-492899.7899999998</v>
      </c>
      <c r="AC220" s="99">
        <f t="shared" ca="1" si="304"/>
        <v>-405891.00133333297</v>
      </c>
      <c r="AD220" s="99">
        <f t="shared" ca="1" si="304"/>
        <v>-204845.72666666622</v>
      </c>
      <c r="AE220" s="100">
        <f ca="1">AD220</f>
        <v>-204845.72666666622</v>
      </c>
      <c r="AF220" s="100">
        <f ca="1">AF166+AE220</f>
        <v>1021954.9189999999</v>
      </c>
      <c r="AG220" s="100">
        <f ca="1">AG166+AF220</f>
        <v>3029944.9595999997</v>
      </c>
      <c r="AH220" s="100">
        <f ca="1">AH166+AG220</f>
        <v>5472434.7280000001</v>
      </c>
      <c r="AI220" s="304" t="s">
        <v>321</v>
      </c>
    </row>
    <row r="221" spans="1:35">
      <c r="A221" s="83" t="s">
        <v>237</v>
      </c>
      <c r="B221" s="102"/>
      <c r="C221" s="85"/>
      <c r="D221" s="85"/>
      <c r="E221" s="85">
        <f t="shared" ref="E221:Q221" si="305">SUM(E218:E220)</f>
        <v>100000</v>
      </c>
      <c r="F221" s="103">
        <f ca="1">SUM(F218:F220)</f>
        <v>92490.833333333328</v>
      </c>
      <c r="G221" s="103">
        <f t="shared" ca="1" si="305"/>
        <v>84981.666666666657</v>
      </c>
      <c r="H221" s="103">
        <f t="shared" ca="1" si="305"/>
        <v>62472.499999999993</v>
      </c>
      <c r="I221" s="103">
        <f t="shared" ca="1" si="305"/>
        <v>192135.16333333333</v>
      </c>
      <c r="J221" s="103">
        <f t="shared" ca="1" si="305"/>
        <v>177883.73666666666</v>
      </c>
      <c r="K221" s="103">
        <f t="shared" ca="1" si="305"/>
        <v>143660.31333333332</v>
      </c>
      <c r="L221" s="103">
        <f t="shared" ca="1" si="305"/>
        <v>105522.79999999999</v>
      </c>
      <c r="M221" s="103">
        <f t="shared" ca="1" si="305"/>
        <v>79330.34666666665</v>
      </c>
      <c r="N221" s="103">
        <f t="shared" ca="1" si="305"/>
        <v>54223.813333333324</v>
      </c>
      <c r="O221" s="103">
        <f t="shared" ca="1" si="305"/>
        <v>20203.190000000002</v>
      </c>
      <c r="P221" s="103">
        <f t="shared" ca="1" si="305"/>
        <v>-14270.973333333328</v>
      </c>
      <c r="Q221" s="103">
        <f t="shared" ca="1" si="305"/>
        <v>-24401.476666666655</v>
      </c>
      <c r="R221" s="104">
        <f ca="1">Q221</f>
        <v>-24401.476666666655</v>
      </c>
      <c r="S221" s="103">
        <f t="shared" ref="S221:AD221" ca="1" si="306">SUM(S218:S220)</f>
        <v>699627.02666666673</v>
      </c>
      <c r="T221" s="103">
        <f t="shared" ca="1" si="306"/>
        <v>618935.62666666671</v>
      </c>
      <c r="U221" s="103">
        <f t="shared" ca="1" si="306"/>
        <v>522587.22733333334</v>
      </c>
      <c r="V221" s="103">
        <f t="shared" ca="1" si="306"/>
        <v>436152.38800000004</v>
      </c>
      <c r="W221" s="103">
        <f t="shared" ca="1" si="306"/>
        <v>391414.08266666671</v>
      </c>
      <c r="X221" s="103">
        <f t="shared" ca="1" si="306"/>
        <v>360478.08733333345</v>
      </c>
      <c r="Y221" s="103">
        <f t="shared" ca="1" si="306"/>
        <v>329105.25800000015</v>
      </c>
      <c r="Z221" s="103">
        <f t="shared" ca="1" si="306"/>
        <v>339861.11066666688</v>
      </c>
      <c r="AA221" s="103">
        <f t="shared" ca="1" si="306"/>
        <v>374408.12333333353</v>
      </c>
      <c r="AB221" s="103">
        <f t="shared" ca="1" si="306"/>
        <v>457100.2100000002</v>
      </c>
      <c r="AC221" s="103">
        <f t="shared" ca="1" si="306"/>
        <v>544108.99866666703</v>
      </c>
      <c r="AD221" s="103">
        <f t="shared" ca="1" si="306"/>
        <v>745154.27333333378</v>
      </c>
      <c r="AE221" s="104">
        <f ca="1">AD221</f>
        <v>745154.27333333378</v>
      </c>
      <c r="AF221" s="104">
        <f ca="1">SUM(AF218:AF220)</f>
        <v>1971954.9189999998</v>
      </c>
      <c r="AG221" s="104">
        <f ca="1">SUM(AG218:AG220)</f>
        <v>3979944.9595999997</v>
      </c>
      <c r="AH221" s="104">
        <f ca="1">SUM(AH218:AH220)</f>
        <v>6422434.7280000001</v>
      </c>
      <c r="AI221" s="304" t="s">
        <v>321</v>
      </c>
    </row>
    <row r="222" spans="1:35">
      <c r="A222" s="96"/>
      <c r="B222" s="97"/>
      <c r="C222" s="98"/>
      <c r="D222" s="98"/>
      <c r="E222" s="98"/>
      <c r="F222" s="99"/>
      <c r="G222" s="99"/>
      <c r="H222" s="99"/>
      <c r="I222" s="99"/>
      <c r="J222" s="99"/>
      <c r="K222" s="99"/>
      <c r="L222" s="99"/>
      <c r="M222" s="99"/>
      <c r="N222" s="99"/>
      <c r="O222" s="99"/>
      <c r="P222" s="99"/>
      <c r="Q222" s="99"/>
      <c r="R222" s="100"/>
      <c r="S222" s="99"/>
      <c r="T222" s="99"/>
      <c r="U222" s="99"/>
      <c r="V222" s="99"/>
      <c r="W222" s="99"/>
      <c r="X222" s="99"/>
      <c r="Y222" s="99"/>
      <c r="Z222" s="99"/>
      <c r="AA222" s="99"/>
      <c r="AB222" s="99"/>
      <c r="AC222" s="99"/>
      <c r="AD222" s="99"/>
      <c r="AE222" s="100"/>
      <c r="AF222" s="100"/>
      <c r="AG222" s="100"/>
      <c r="AH222" s="100"/>
      <c r="AI222" s="304" t="s">
        <v>321</v>
      </c>
    </row>
    <row r="223" spans="1:35">
      <c r="A223" s="83" t="s">
        <v>238</v>
      </c>
      <c r="B223" s="102"/>
      <c r="C223" s="85"/>
      <c r="D223" s="85"/>
      <c r="E223" s="85">
        <f t="shared" ref="E223:Q223" si="307">E221+E215</f>
        <v>100000</v>
      </c>
      <c r="F223" s="320">
        <f ca="1">F221+F215</f>
        <v>95520.833333333328</v>
      </c>
      <c r="G223" s="103">
        <f t="shared" ca="1" si="307"/>
        <v>88011.666666666657</v>
      </c>
      <c r="H223" s="103">
        <f t="shared" ca="1" si="307"/>
        <v>70502.5</v>
      </c>
      <c r="I223" s="103">
        <f t="shared" ca="1" si="307"/>
        <v>203033.33333333334</v>
      </c>
      <c r="J223" s="103">
        <f t="shared" ca="1" si="307"/>
        <v>195215.99666666667</v>
      </c>
      <c r="K223" s="103">
        <f ca="1">K221+K215</f>
        <v>171761.65333333332</v>
      </c>
      <c r="L223" s="103">
        <f t="shared" ca="1" si="307"/>
        <v>140058.22999999998</v>
      </c>
      <c r="M223" s="103">
        <f t="shared" ca="1" si="307"/>
        <v>129640.71666666665</v>
      </c>
      <c r="N223" s="103">
        <f t="shared" ca="1" si="307"/>
        <v>105968.26333333332</v>
      </c>
      <c r="O223" s="103">
        <f t="shared" ca="1" si="307"/>
        <v>83381.73000000001</v>
      </c>
      <c r="P223" s="103">
        <f t="shared" ca="1" si="307"/>
        <v>94721.106666666674</v>
      </c>
      <c r="Q223" s="103">
        <f t="shared" ca="1" si="307"/>
        <v>70326.943333333344</v>
      </c>
      <c r="R223" s="104">
        <f ca="1">Q223</f>
        <v>70326.943333333344</v>
      </c>
      <c r="S223" s="103">
        <f ca="1">S221+S215</f>
        <v>860992.52333333343</v>
      </c>
      <c r="T223" s="103">
        <f t="shared" ref="T223:AD223" ca="1" si="308">T221+T215</f>
        <v>802201.78</v>
      </c>
      <c r="U223" s="103">
        <f t="shared" ca="1" si="308"/>
        <v>712544.71733333333</v>
      </c>
      <c r="V223" s="103">
        <f t="shared" ca="1" si="308"/>
        <v>646007.91800000006</v>
      </c>
      <c r="W223" s="103">
        <f t="shared" ca="1" si="308"/>
        <v>624750.26266666665</v>
      </c>
      <c r="X223" s="103">
        <f t="shared" ca="1" si="308"/>
        <v>621521.3973333335</v>
      </c>
      <c r="Y223" s="103">
        <f t="shared" ca="1" si="308"/>
        <v>639566.13800000004</v>
      </c>
      <c r="Z223" s="103">
        <f t="shared" ca="1" si="308"/>
        <v>665991.02066666679</v>
      </c>
      <c r="AA223" s="103">
        <f t="shared" ca="1" si="308"/>
        <v>744948.15333333355</v>
      </c>
      <c r="AB223" s="103">
        <f t="shared" ca="1" si="308"/>
        <v>859971.87000000011</v>
      </c>
      <c r="AC223" s="103">
        <f t="shared" ca="1" si="308"/>
        <v>1037626.628666667</v>
      </c>
      <c r="AD223" s="103">
        <f t="shared" ca="1" si="308"/>
        <v>1236691.7533333339</v>
      </c>
      <c r="AE223" s="104">
        <f ca="1">AD223</f>
        <v>1236691.7533333339</v>
      </c>
      <c r="AF223" s="104">
        <f ca="1">AF221+AF215</f>
        <v>2759525.8384166667</v>
      </c>
      <c r="AG223" s="104">
        <f ca="1">AG221+AG215</f>
        <v>5165367.9589499999</v>
      </c>
      <c r="AH223" s="104">
        <f ca="1">AH221+AH215</f>
        <v>7982428.0164999999</v>
      </c>
      <c r="AI223" s="304" t="s">
        <v>321</v>
      </c>
    </row>
    <row r="224" spans="1:35" ht="8.25" thickBot="1">
      <c r="A224" s="96"/>
      <c r="B224" s="97"/>
      <c r="C224" s="98"/>
      <c r="D224" s="98"/>
      <c r="E224" s="98"/>
      <c r="F224" s="99"/>
      <c r="G224" s="99"/>
      <c r="H224" s="99"/>
      <c r="I224" s="99"/>
      <c r="J224" s="99"/>
      <c r="K224" s="99"/>
      <c r="L224" s="99"/>
      <c r="M224" s="99"/>
      <c r="N224" s="99"/>
      <c r="O224" s="99"/>
      <c r="P224" s="99"/>
      <c r="Q224" s="99"/>
      <c r="R224" s="100"/>
      <c r="S224" s="99"/>
      <c r="T224" s="99"/>
      <c r="U224" s="99"/>
      <c r="V224" s="99"/>
      <c r="W224" s="99"/>
      <c r="X224" s="99"/>
      <c r="Y224" s="99"/>
      <c r="Z224" s="99"/>
      <c r="AA224" s="99"/>
      <c r="AB224" s="99"/>
      <c r="AC224" s="99"/>
      <c r="AD224" s="99"/>
      <c r="AE224" s="100"/>
      <c r="AF224" s="100"/>
      <c r="AG224" s="100"/>
      <c r="AH224" s="100"/>
      <c r="AI224" s="304" t="s">
        <v>321</v>
      </c>
    </row>
    <row r="225" spans="1:35" s="65" customFormat="1" ht="8.25" thickTop="1">
      <c r="A225" s="73" t="s">
        <v>4</v>
      </c>
      <c r="B225" s="74"/>
      <c r="C225" s="75"/>
      <c r="D225" s="75"/>
      <c r="E225" s="75"/>
      <c r="F225" s="105"/>
      <c r="G225" s="105"/>
      <c r="H225" s="105"/>
      <c r="I225" s="105"/>
      <c r="J225" s="105"/>
      <c r="K225" s="105"/>
      <c r="L225" s="105"/>
      <c r="M225" s="105"/>
      <c r="N225" s="105"/>
      <c r="O225" s="105"/>
      <c r="P225" s="105"/>
      <c r="Q225" s="105"/>
      <c r="R225" s="106"/>
      <c r="S225" s="105"/>
      <c r="T225" s="105"/>
      <c r="U225" s="105"/>
      <c r="V225" s="105"/>
      <c r="W225" s="105"/>
      <c r="X225" s="105"/>
      <c r="Y225" s="105"/>
      <c r="Z225" s="105"/>
      <c r="AA225" s="105"/>
      <c r="AB225" s="105"/>
      <c r="AC225" s="105"/>
      <c r="AD225" s="105"/>
      <c r="AE225" s="106"/>
      <c r="AF225" s="106"/>
      <c r="AG225" s="106"/>
      <c r="AH225" s="106"/>
      <c r="AI225" s="304" t="s">
        <v>321</v>
      </c>
    </row>
    <row r="226" spans="1:35" s="65" customFormat="1" ht="8.25" thickBot="1">
      <c r="A226" s="78" t="str">
        <f>$A$1</f>
        <v>PEP STRAW</v>
      </c>
      <c r="B226" s="79"/>
      <c r="C226" s="80"/>
      <c r="D226" s="80"/>
      <c r="E226" s="80"/>
      <c r="F226" s="107"/>
      <c r="G226" s="107"/>
      <c r="H226" s="107"/>
      <c r="I226" s="107"/>
      <c r="J226" s="107"/>
      <c r="K226" s="107"/>
      <c r="L226" s="107"/>
      <c r="M226" s="107"/>
      <c r="N226" s="107"/>
      <c r="O226" s="107"/>
      <c r="P226" s="107"/>
      <c r="Q226" s="107"/>
      <c r="R226" s="108"/>
      <c r="S226" s="107"/>
      <c r="T226" s="107"/>
      <c r="U226" s="107"/>
      <c r="V226" s="107"/>
      <c r="W226" s="107"/>
      <c r="X226" s="107"/>
      <c r="Y226" s="107"/>
      <c r="Z226" s="107"/>
      <c r="AA226" s="107"/>
      <c r="AB226" s="107"/>
      <c r="AC226" s="107"/>
      <c r="AD226" s="107"/>
      <c r="AE226" s="108"/>
      <c r="AF226" s="108"/>
      <c r="AG226" s="108"/>
      <c r="AH226" s="108"/>
      <c r="AI226" s="304" t="s">
        <v>321</v>
      </c>
    </row>
    <row r="227" spans="1:35" ht="8.25" thickTop="1">
      <c r="A227" s="83"/>
      <c r="B227" s="84">
        <f ca="1">NOW()</f>
        <v>44371.35163020833</v>
      </c>
      <c r="C227" s="85"/>
      <c r="D227" s="85"/>
      <c r="E227" s="85"/>
      <c r="F227" s="86" t="str">
        <f t="shared" ref="F227:Q227" si="309">F$8</f>
        <v>Month 1</v>
      </c>
      <c r="G227" s="86" t="str">
        <f t="shared" si="309"/>
        <v>Month 2</v>
      </c>
      <c r="H227" s="86" t="str">
        <f t="shared" si="309"/>
        <v>Month 3</v>
      </c>
      <c r="I227" s="86" t="str">
        <f t="shared" si="309"/>
        <v>Month 4</v>
      </c>
      <c r="J227" s="86" t="str">
        <f t="shared" si="309"/>
        <v>Month 5</v>
      </c>
      <c r="K227" s="86" t="str">
        <f t="shared" si="309"/>
        <v>Month 6</v>
      </c>
      <c r="L227" s="86" t="str">
        <f t="shared" si="309"/>
        <v>Month 7</v>
      </c>
      <c r="M227" s="86" t="str">
        <f t="shared" si="309"/>
        <v>Month 8</v>
      </c>
      <c r="N227" s="86" t="str">
        <f t="shared" si="309"/>
        <v>Month 9</v>
      </c>
      <c r="O227" s="86" t="str">
        <f t="shared" si="309"/>
        <v>Month 10</v>
      </c>
      <c r="P227" s="86" t="str">
        <f t="shared" si="309"/>
        <v>Month 11</v>
      </c>
      <c r="Q227" s="86" t="str">
        <f t="shared" si="309"/>
        <v>Month 12</v>
      </c>
      <c r="R227" s="87" t="s">
        <v>127</v>
      </c>
      <c r="S227" s="86" t="str">
        <f t="shared" ref="S227:AD227" si="310">S$8</f>
        <v>Month 13</v>
      </c>
      <c r="T227" s="86" t="str">
        <f t="shared" si="310"/>
        <v>Month 14</v>
      </c>
      <c r="U227" s="86" t="str">
        <f t="shared" si="310"/>
        <v>Month 15</v>
      </c>
      <c r="V227" s="86" t="str">
        <f t="shared" si="310"/>
        <v>Month 16</v>
      </c>
      <c r="W227" s="86" t="str">
        <f t="shared" si="310"/>
        <v>Month 17</v>
      </c>
      <c r="X227" s="86" t="str">
        <f t="shared" si="310"/>
        <v>Month 18</v>
      </c>
      <c r="Y227" s="86" t="str">
        <f t="shared" si="310"/>
        <v>Month 19</v>
      </c>
      <c r="Z227" s="86" t="str">
        <f t="shared" si="310"/>
        <v>Month 20</v>
      </c>
      <c r="AA227" s="86" t="str">
        <f t="shared" si="310"/>
        <v>Month 21</v>
      </c>
      <c r="AB227" s="86" t="str">
        <f t="shared" si="310"/>
        <v>Month 22</v>
      </c>
      <c r="AC227" s="86" t="str">
        <f t="shared" si="310"/>
        <v>Month 23</v>
      </c>
      <c r="AD227" s="86" t="str">
        <f t="shared" si="310"/>
        <v>Month 24</v>
      </c>
      <c r="AE227" s="87" t="s">
        <v>127</v>
      </c>
      <c r="AF227" s="87" t="str">
        <f>AF$8</f>
        <v>Total</v>
      </c>
      <c r="AG227" s="87" t="str">
        <f>AG$8</f>
        <v>Total</v>
      </c>
      <c r="AH227" s="87" t="str">
        <f>AH$8</f>
        <v>Total</v>
      </c>
      <c r="AI227" s="304" t="s">
        <v>321</v>
      </c>
    </row>
    <row r="228" spans="1:35">
      <c r="A228" s="89"/>
      <c r="B228" s="90">
        <f ca="1">NOW()</f>
        <v>44371.35163020833</v>
      </c>
      <c r="C228" s="91"/>
      <c r="D228" s="91"/>
      <c r="E228" s="91"/>
      <c r="F228" s="92">
        <f t="shared" ref="F228:AH228" si="311">F$1</f>
        <v>43466</v>
      </c>
      <c r="G228" s="92">
        <f t="shared" si="311"/>
        <v>43497</v>
      </c>
      <c r="H228" s="92">
        <f t="shared" si="311"/>
        <v>43528</v>
      </c>
      <c r="I228" s="92">
        <f t="shared" si="311"/>
        <v>43559</v>
      </c>
      <c r="J228" s="92">
        <f t="shared" si="311"/>
        <v>43590</v>
      </c>
      <c r="K228" s="92">
        <f t="shared" si="311"/>
        <v>43621</v>
      </c>
      <c r="L228" s="92">
        <f t="shared" si="311"/>
        <v>43652</v>
      </c>
      <c r="M228" s="92">
        <f t="shared" si="311"/>
        <v>43683</v>
      </c>
      <c r="N228" s="92">
        <f t="shared" si="311"/>
        <v>43714</v>
      </c>
      <c r="O228" s="92">
        <f t="shared" si="311"/>
        <v>43745</v>
      </c>
      <c r="P228" s="92">
        <f t="shared" si="311"/>
        <v>43776</v>
      </c>
      <c r="Q228" s="92">
        <f t="shared" si="311"/>
        <v>43807</v>
      </c>
      <c r="R228" s="93">
        <f t="shared" si="311"/>
        <v>43807</v>
      </c>
      <c r="S228" s="92">
        <f t="shared" si="311"/>
        <v>43838</v>
      </c>
      <c r="T228" s="92">
        <f t="shared" si="311"/>
        <v>43869</v>
      </c>
      <c r="U228" s="92">
        <f t="shared" si="311"/>
        <v>43900</v>
      </c>
      <c r="V228" s="92">
        <f t="shared" si="311"/>
        <v>43931</v>
      </c>
      <c r="W228" s="92">
        <f t="shared" si="311"/>
        <v>43962</v>
      </c>
      <c r="X228" s="92">
        <f t="shared" si="311"/>
        <v>43993</v>
      </c>
      <c r="Y228" s="92">
        <f t="shared" si="311"/>
        <v>44024</v>
      </c>
      <c r="Z228" s="92">
        <f t="shared" si="311"/>
        <v>44055</v>
      </c>
      <c r="AA228" s="92">
        <f t="shared" si="311"/>
        <v>44086</v>
      </c>
      <c r="AB228" s="92">
        <f t="shared" si="311"/>
        <v>44117</v>
      </c>
      <c r="AC228" s="92">
        <f t="shared" si="311"/>
        <v>44148</v>
      </c>
      <c r="AD228" s="92">
        <f t="shared" si="311"/>
        <v>44179</v>
      </c>
      <c r="AE228" s="93">
        <f t="shared" si="311"/>
        <v>44179</v>
      </c>
      <c r="AF228" s="93">
        <f t="shared" si="311"/>
        <v>44544</v>
      </c>
      <c r="AG228" s="93">
        <f t="shared" si="311"/>
        <v>44909</v>
      </c>
      <c r="AH228" s="93">
        <f t="shared" si="311"/>
        <v>45274</v>
      </c>
      <c r="AI228" s="304" t="s">
        <v>321</v>
      </c>
    </row>
    <row r="229" spans="1:35">
      <c r="A229" s="89"/>
      <c r="B229" s="90"/>
      <c r="C229" s="91"/>
      <c r="D229" s="91"/>
      <c r="E229" s="91"/>
      <c r="F229" s="92"/>
      <c r="G229" s="92"/>
      <c r="H229" s="92"/>
      <c r="I229" s="92"/>
      <c r="J229" s="92"/>
      <c r="K229" s="92"/>
      <c r="L229" s="92"/>
      <c r="M229" s="92"/>
      <c r="N229" s="92"/>
      <c r="O229" s="92"/>
      <c r="P229" s="92"/>
      <c r="Q229" s="92"/>
      <c r="R229" s="93"/>
      <c r="S229" s="92"/>
      <c r="T229" s="92"/>
      <c r="U229" s="92"/>
      <c r="V229" s="92"/>
      <c r="W229" s="92"/>
      <c r="X229" s="92"/>
      <c r="Y229" s="92"/>
      <c r="Z229" s="92"/>
      <c r="AA229" s="92"/>
      <c r="AB229" s="92"/>
      <c r="AC229" s="92"/>
      <c r="AD229" s="92"/>
      <c r="AE229" s="93"/>
      <c r="AF229" s="93"/>
      <c r="AG229" s="93"/>
      <c r="AH229" s="93"/>
      <c r="AI229" s="304" t="s">
        <v>321</v>
      </c>
    </row>
    <row r="230" spans="1:35">
      <c r="A230" s="96" t="s">
        <v>239</v>
      </c>
      <c r="B230" s="97"/>
      <c r="C230" s="98"/>
      <c r="D230" s="98"/>
      <c r="E230" s="98"/>
      <c r="F230" s="99"/>
      <c r="G230" s="99"/>
      <c r="H230" s="99"/>
      <c r="I230" s="99"/>
      <c r="J230" s="99"/>
      <c r="K230" s="99"/>
      <c r="L230" s="99"/>
      <c r="M230" s="99"/>
      <c r="N230" s="99"/>
      <c r="O230" s="99"/>
      <c r="P230" s="99"/>
      <c r="Q230" s="99"/>
      <c r="R230" s="100"/>
      <c r="S230" s="99"/>
      <c r="T230" s="99"/>
      <c r="U230" s="99"/>
      <c r="V230" s="99"/>
      <c r="W230" s="99"/>
      <c r="X230" s="99"/>
      <c r="Y230" s="99"/>
      <c r="Z230" s="99"/>
      <c r="AA230" s="99"/>
      <c r="AB230" s="99"/>
      <c r="AC230" s="99"/>
      <c r="AD230" s="99"/>
      <c r="AE230" s="100"/>
      <c r="AF230" s="100"/>
      <c r="AG230" s="100"/>
      <c r="AH230" s="100"/>
      <c r="AI230" s="304" t="s">
        <v>321</v>
      </c>
    </row>
    <row r="231" spans="1:35">
      <c r="A231" s="96"/>
      <c r="B231" s="69" t="str">
        <f>Assumptions!I10</f>
        <v>PEP Straw 1</v>
      </c>
      <c r="C231" s="98"/>
      <c r="D231" s="98"/>
      <c r="E231" s="98"/>
      <c r="F231" s="148">
        <f>COGS!L18</f>
        <v>0</v>
      </c>
      <c r="G231" s="148">
        <f>COGS!M18</f>
        <v>0</v>
      </c>
      <c r="H231" s="148">
        <f>COGS!N18</f>
        <v>0</v>
      </c>
      <c r="I231" s="148">
        <f>COGS!O18</f>
        <v>5000</v>
      </c>
      <c r="J231" s="148">
        <f>COGS!P18</f>
        <v>7500</v>
      </c>
      <c r="K231" s="148">
        <f>COGS!Q18</f>
        <v>10000</v>
      </c>
      <c r="L231" s="148">
        <f>COGS!R18</f>
        <v>12500</v>
      </c>
      <c r="M231" s="148">
        <f>COGS!S18</f>
        <v>40000</v>
      </c>
      <c r="N231" s="148">
        <f>COGS!T18</f>
        <v>42500</v>
      </c>
      <c r="O231" s="148">
        <f>COGS!U18</f>
        <v>45000</v>
      </c>
      <c r="P231" s="148">
        <f>COGS!V18</f>
        <v>90000</v>
      </c>
      <c r="Q231" s="148">
        <f>COGS!W18</f>
        <v>100000</v>
      </c>
      <c r="R231" s="100">
        <f t="shared" ref="R231:R236" si="312">SUM(F231:Q231)</f>
        <v>352500</v>
      </c>
      <c r="S231" s="148">
        <f>COGS!X18</f>
        <v>118000</v>
      </c>
      <c r="T231" s="148">
        <f>COGS!Y18</f>
        <v>139240</v>
      </c>
      <c r="U231" s="148">
        <f>COGS!Z18</f>
        <v>164303</v>
      </c>
      <c r="V231" s="148">
        <f>COGS!AA18</f>
        <v>193878</v>
      </c>
      <c r="W231" s="148">
        <f>COGS!AB18</f>
        <v>228776</v>
      </c>
      <c r="X231" s="148">
        <f>COGS!AC18</f>
        <v>269956</v>
      </c>
      <c r="Y231" s="148">
        <f>COGS!AD18</f>
        <v>318548</v>
      </c>
      <c r="Z231" s="148">
        <f>COGS!AE18</f>
        <v>375887</v>
      </c>
      <c r="AA231" s="148">
        <f>COGS!AF18</f>
        <v>443547</v>
      </c>
      <c r="AB231" s="148">
        <f>COGS!AG18</f>
        <v>523385</v>
      </c>
      <c r="AC231" s="148">
        <f>COGS!AH18</f>
        <v>617594</v>
      </c>
      <c r="AD231" s="148">
        <f>COGS!AI18</f>
        <v>728761</v>
      </c>
      <c r="AE231" s="100">
        <f t="shared" ref="AE231:AE236" si="313">SUM(S231:AD231)</f>
        <v>4121875</v>
      </c>
      <c r="AF231" s="149">
        <f>COGS!F18</f>
        <v>9334931</v>
      </c>
      <c r="AG231" s="149">
        <f>COGS!G18</f>
        <v>11234089</v>
      </c>
      <c r="AH231" s="149">
        <f>COGS!H18</f>
        <v>13340438</v>
      </c>
      <c r="AI231" s="304" t="s">
        <v>321</v>
      </c>
    </row>
    <row r="232" spans="1:35">
      <c r="A232" s="96"/>
      <c r="B232" s="69" t="str">
        <f>Assumptions!I11</f>
        <v>PEP Straw 2</v>
      </c>
      <c r="C232" s="98"/>
      <c r="D232" s="98"/>
      <c r="E232" s="98"/>
      <c r="F232" s="148">
        <f>COGS!L19</f>
        <v>0</v>
      </c>
      <c r="G232" s="148">
        <f>COGS!M19</f>
        <v>0</v>
      </c>
      <c r="H232" s="148">
        <f>COGS!N19</f>
        <v>0</v>
      </c>
      <c r="I232" s="148">
        <f>COGS!O19</f>
        <v>0</v>
      </c>
      <c r="J232" s="148">
        <f>COGS!P19</f>
        <v>0</v>
      </c>
      <c r="K232" s="148">
        <f>COGS!Q19</f>
        <v>0</v>
      </c>
      <c r="L232" s="148">
        <f>COGS!R19</f>
        <v>0</v>
      </c>
      <c r="M232" s="148">
        <f>COGS!S19</f>
        <v>0</v>
      </c>
      <c r="N232" s="148">
        <f>COGS!T19</f>
        <v>0</v>
      </c>
      <c r="O232" s="148">
        <f>COGS!U19</f>
        <v>0</v>
      </c>
      <c r="P232" s="148">
        <f>COGS!V19</f>
        <v>0</v>
      </c>
      <c r="Q232" s="148">
        <f>COGS!W19</f>
        <v>0</v>
      </c>
      <c r="R232" s="100">
        <f t="shared" si="312"/>
        <v>0</v>
      </c>
      <c r="S232" s="148">
        <f>COGS!X19</f>
        <v>0</v>
      </c>
      <c r="T232" s="148">
        <f>COGS!Y19</f>
        <v>0</v>
      </c>
      <c r="U232" s="148">
        <f>COGS!Z19</f>
        <v>0</v>
      </c>
      <c r="V232" s="148">
        <f>COGS!AA19</f>
        <v>0</v>
      </c>
      <c r="W232" s="148">
        <f>COGS!AB19</f>
        <v>0</v>
      </c>
      <c r="X232" s="148">
        <f>COGS!AC19</f>
        <v>0</v>
      </c>
      <c r="Y232" s="148">
        <f>COGS!AD19</f>
        <v>0</v>
      </c>
      <c r="Z232" s="148">
        <f>COGS!AE19</f>
        <v>0</v>
      </c>
      <c r="AA232" s="148">
        <f>COGS!AF19</f>
        <v>0</v>
      </c>
      <c r="AB232" s="148">
        <f>COGS!AG19</f>
        <v>0</v>
      </c>
      <c r="AC232" s="148">
        <f>COGS!AH19</f>
        <v>0</v>
      </c>
      <c r="AD232" s="148">
        <f>COGS!AI19</f>
        <v>0</v>
      </c>
      <c r="AE232" s="100">
        <f t="shared" si="313"/>
        <v>0</v>
      </c>
      <c r="AF232" s="149">
        <f>COGS!F19</f>
        <v>748459</v>
      </c>
      <c r="AG232" s="149">
        <f>COGS!G19</f>
        <v>2046683</v>
      </c>
      <c r="AH232" s="149">
        <f>COGS!H19</f>
        <v>3440157</v>
      </c>
      <c r="AI232" s="304" t="s">
        <v>321</v>
      </c>
    </row>
    <row r="233" spans="1:35">
      <c r="A233" s="96"/>
      <c r="B233" s="69" t="str">
        <f>Assumptions!I12</f>
        <v>PEP Straw 3</v>
      </c>
      <c r="C233" s="98"/>
      <c r="D233" s="98"/>
      <c r="E233" s="98"/>
      <c r="F233" s="148">
        <f>COGS!L20</f>
        <v>0</v>
      </c>
      <c r="G233" s="148">
        <f>COGS!M20</f>
        <v>0</v>
      </c>
      <c r="H233" s="148">
        <f>COGS!N20</f>
        <v>0</v>
      </c>
      <c r="I233" s="148">
        <f>COGS!O20</f>
        <v>0</v>
      </c>
      <c r="J233" s="148">
        <f>COGS!P20</f>
        <v>0</v>
      </c>
      <c r="K233" s="148">
        <f>COGS!Q20</f>
        <v>0</v>
      </c>
      <c r="L233" s="148">
        <f>COGS!R20</f>
        <v>0</v>
      </c>
      <c r="M233" s="148">
        <f>COGS!S20</f>
        <v>0</v>
      </c>
      <c r="N233" s="148">
        <f>COGS!T20</f>
        <v>0</v>
      </c>
      <c r="O233" s="148">
        <f>COGS!U20</f>
        <v>0</v>
      </c>
      <c r="P233" s="148">
        <f>COGS!V20</f>
        <v>0</v>
      </c>
      <c r="Q233" s="148">
        <f>COGS!W20</f>
        <v>0</v>
      </c>
      <c r="R233" s="100">
        <f t="shared" si="312"/>
        <v>0</v>
      </c>
      <c r="S233" s="148">
        <f>COGS!X20</f>
        <v>0</v>
      </c>
      <c r="T233" s="148">
        <f>COGS!Y20</f>
        <v>0</v>
      </c>
      <c r="U233" s="148">
        <f>COGS!Z20</f>
        <v>0</v>
      </c>
      <c r="V233" s="148">
        <f>COGS!AA20</f>
        <v>0</v>
      </c>
      <c r="W233" s="148">
        <f>COGS!AB20</f>
        <v>0</v>
      </c>
      <c r="X233" s="148">
        <f>COGS!AC20</f>
        <v>0</v>
      </c>
      <c r="Y233" s="148">
        <f>COGS!AD20</f>
        <v>0</v>
      </c>
      <c r="Z233" s="148">
        <f>COGS!AE20</f>
        <v>0</v>
      </c>
      <c r="AA233" s="148">
        <f>COGS!AF20</f>
        <v>0</v>
      </c>
      <c r="AB233" s="148">
        <f>COGS!AG20</f>
        <v>0</v>
      </c>
      <c r="AC233" s="148">
        <f>COGS!AH20</f>
        <v>0</v>
      </c>
      <c r="AD233" s="148">
        <f>COGS!AI20</f>
        <v>0</v>
      </c>
      <c r="AE233" s="100">
        <f t="shared" si="313"/>
        <v>0</v>
      </c>
      <c r="AF233" s="149">
        <f>COGS!F20</f>
        <v>0</v>
      </c>
      <c r="AG233" s="149">
        <f>COGS!G20</f>
        <v>1341657</v>
      </c>
      <c r="AH233" s="149">
        <f>COGS!H20</f>
        <v>2638432</v>
      </c>
      <c r="AI233" s="304" t="s">
        <v>321</v>
      </c>
    </row>
    <row r="234" spans="1:35">
      <c r="A234" s="96"/>
      <c r="B234" s="69" t="str">
        <f>Assumptions!I13</f>
        <v>PRODUCT 4</v>
      </c>
      <c r="C234" s="98"/>
      <c r="D234" s="98"/>
      <c r="E234" s="98"/>
      <c r="F234" s="148">
        <f>COGS!L21</f>
        <v>0</v>
      </c>
      <c r="G234" s="148">
        <f>COGS!M21</f>
        <v>0</v>
      </c>
      <c r="H234" s="148">
        <f>COGS!N21</f>
        <v>0</v>
      </c>
      <c r="I234" s="148">
        <f>COGS!O21</f>
        <v>0</v>
      </c>
      <c r="J234" s="148">
        <f>COGS!P21</f>
        <v>0</v>
      </c>
      <c r="K234" s="148">
        <f>COGS!Q21</f>
        <v>0</v>
      </c>
      <c r="L234" s="148">
        <f>COGS!R21</f>
        <v>0</v>
      </c>
      <c r="M234" s="148">
        <f>COGS!S21</f>
        <v>0</v>
      </c>
      <c r="N234" s="148">
        <f>COGS!T21</f>
        <v>0</v>
      </c>
      <c r="O234" s="148">
        <f>COGS!U21</f>
        <v>0</v>
      </c>
      <c r="P234" s="148">
        <f>COGS!V21</f>
        <v>0</v>
      </c>
      <c r="Q234" s="148">
        <f>COGS!W21</f>
        <v>0</v>
      </c>
      <c r="R234" s="100">
        <f t="shared" si="312"/>
        <v>0</v>
      </c>
      <c r="S234" s="148">
        <f>COGS!X21</f>
        <v>0</v>
      </c>
      <c r="T234" s="148">
        <f>COGS!Y21</f>
        <v>0</v>
      </c>
      <c r="U234" s="148">
        <f>COGS!Z21</f>
        <v>0</v>
      </c>
      <c r="V234" s="148">
        <f>COGS!AA21</f>
        <v>0</v>
      </c>
      <c r="W234" s="148">
        <f>COGS!AB21</f>
        <v>0</v>
      </c>
      <c r="X234" s="148">
        <f>COGS!AC21</f>
        <v>0</v>
      </c>
      <c r="Y234" s="148">
        <f>COGS!AD21</f>
        <v>0</v>
      </c>
      <c r="Z234" s="148">
        <f>COGS!AE21</f>
        <v>0</v>
      </c>
      <c r="AA234" s="148">
        <f>COGS!AF21</f>
        <v>0</v>
      </c>
      <c r="AB234" s="148">
        <f>COGS!AG21</f>
        <v>0</v>
      </c>
      <c r="AC234" s="148">
        <f>COGS!AH21</f>
        <v>0</v>
      </c>
      <c r="AD234" s="148">
        <f>COGS!AI21</f>
        <v>0</v>
      </c>
      <c r="AE234" s="100">
        <f t="shared" si="313"/>
        <v>0</v>
      </c>
      <c r="AF234" s="149">
        <f>COGS!F21</f>
        <v>0</v>
      </c>
      <c r="AG234" s="149">
        <f>COGS!G21</f>
        <v>0</v>
      </c>
      <c r="AH234" s="149">
        <f>COGS!H21</f>
        <v>0</v>
      </c>
      <c r="AI234" s="304" t="s">
        <v>321</v>
      </c>
    </row>
    <row r="235" spans="1:35">
      <c r="A235" s="96"/>
      <c r="B235" s="69" t="str">
        <f>Assumptions!I14</f>
        <v>PRODUCT 5</v>
      </c>
      <c r="C235" s="98"/>
      <c r="D235" s="98"/>
      <c r="E235" s="98"/>
      <c r="F235" s="148">
        <f>COGS!L22</f>
        <v>0</v>
      </c>
      <c r="G235" s="148">
        <f>COGS!M22</f>
        <v>0</v>
      </c>
      <c r="H235" s="148">
        <f>COGS!N22</f>
        <v>0</v>
      </c>
      <c r="I235" s="148">
        <f>COGS!O22</f>
        <v>0</v>
      </c>
      <c r="J235" s="148">
        <f>COGS!P22</f>
        <v>0</v>
      </c>
      <c r="K235" s="148">
        <f>COGS!Q22</f>
        <v>0</v>
      </c>
      <c r="L235" s="148">
        <f>COGS!R22</f>
        <v>0</v>
      </c>
      <c r="M235" s="148">
        <f>COGS!S22</f>
        <v>0</v>
      </c>
      <c r="N235" s="148">
        <f>COGS!T22</f>
        <v>0</v>
      </c>
      <c r="O235" s="148">
        <f>COGS!U22</f>
        <v>0</v>
      </c>
      <c r="P235" s="148">
        <f>COGS!V22</f>
        <v>0</v>
      </c>
      <c r="Q235" s="148">
        <f>COGS!W22</f>
        <v>0</v>
      </c>
      <c r="R235" s="100">
        <f t="shared" si="312"/>
        <v>0</v>
      </c>
      <c r="S235" s="148">
        <f>COGS!X22</f>
        <v>0</v>
      </c>
      <c r="T235" s="148">
        <f>COGS!Y22</f>
        <v>0</v>
      </c>
      <c r="U235" s="148">
        <f>COGS!Z22</f>
        <v>0</v>
      </c>
      <c r="V235" s="148">
        <f>COGS!AA22</f>
        <v>0</v>
      </c>
      <c r="W235" s="148">
        <f>COGS!AB22</f>
        <v>0</v>
      </c>
      <c r="X235" s="148">
        <f>COGS!AC22</f>
        <v>0</v>
      </c>
      <c r="Y235" s="148">
        <f>COGS!AD22</f>
        <v>0</v>
      </c>
      <c r="Z235" s="148">
        <f>COGS!AE22</f>
        <v>0</v>
      </c>
      <c r="AA235" s="148">
        <f>COGS!AF22</f>
        <v>0</v>
      </c>
      <c r="AB235" s="148">
        <f>COGS!AG22</f>
        <v>0</v>
      </c>
      <c r="AC235" s="148">
        <f>COGS!AH22</f>
        <v>0</v>
      </c>
      <c r="AD235" s="148">
        <f>COGS!AI22</f>
        <v>0</v>
      </c>
      <c r="AE235" s="100">
        <f t="shared" si="313"/>
        <v>0</v>
      </c>
      <c r="AF235" s="149">
        <f>COGS!F22</f>
        <v>0</v>
      </c>
      <c r="AG235" s="149">
        <f>COGS!G22</f>
        <v>0</v>
      </c>
      <c r="AH235" s="149">
        <f>COGS!H22</f>
        <v>0</v>
      </c>
      <c r="AI235" s="304" t="s">
        <v>321</v>
      </c>
    </row>
    <row r="236" spans="1:35">
      <c r="A236" s="83" t="s">
        <v>240</v>
      </c>
      <c r="B236" s="102"/>
      <c r="C236" s="85"/>
      <c r="D236" s="85"/>
      <c r="E236" s="85"/>
      <c r="F236" s="103">
        <f>SUM(F231:F235)</f>
        <v>0</v>
      </c>
      <c r="G236" s="103">
        <f t="shared" ref="G236:Q236" si="314">SUM(G231:G235)</f>
        <v>0</v>
      </c>
      <c r="H236" s="103">
        <f t="shared" si="314"/>
        <v>0</v>
      </c>
      <c r="I236" s="103">
        <f t="shared" si="314"/>
        <v>5000</v>
      </c>
      <c r="J236" s="103">
        <f t="shared" si="314"/>
        <v>7500</v>
      </c>
      <c r="K236" s="103">
        <f t="shared" si="314"/>
        <v>10000</v>
      </c>
      <c r="L236" s="103">
        <f t="shared" si="314"/>
        <v>12500</v>
      </c>
      <c r="M236" s="103">
        <f t="shared" si="314"/>
        <v>40000</v>
      </c>
      <c r="N236" s="103">
        <f t="shared" si="314"/>
        <v>42500</v>
      </c>
      <c r="O236" s="103">
        <f t="shared" si="314"/>
        <v>45000</v>
      </c>
      <c r="P236" s="103">
        <f t="shared" si="314"/>
        <v>90000</v>
      </c>
      <c r="Q236" s="103">
        <f t="shared" si="314"/>
        <v>100000</v>
      </c>
      <c r="R236" s="104">
        <f t="shared" si="312"/>
        <v>352500</v>
      </c>
      <c r="S236" s="103">
        <f>SUM(S231:S235)</f>
        <v>118000</v>
      </c>
      <c r="T236" s="103">
        <f t="shared" ref="T236:AD236" si="315">SUM(T231:T235)</f>
        <v>139240</v>
      </c>
      <c r="U236" s="103">
        <f t="shared" si="315"/>
        <v>164303</v>
      </c>
      <c r="V236" s="103">
        <f t="shared" si="315"/>
        <v>193878</v>
      </c>
      <c r="W236" s="103">
        <f t="shared" si="315"/>
        <v>228776</v>
      </c>
      <c r="X236" s="103">
        <f t="shared" si="315"/>
        <v>269956</v>
      </c>
      <c r="Y236" s="103">
        <f t="shared" si="315"/>
        <v>318548</v>
      </c>
      <c r="Z236" s="103">
        <f t="shared" si="315"/>
        <v>375887</v>
      </c>
      <c r="AA236" s="103">
        <f t="shared" si="315"/>
        <v>443547</v>
      </c>
      <c r="AB236" s="103">
        <f t="shared" si="315"/>
        <v>523385</v>
      </c>
      <c r="AC236" s="103">
        <f t="shared" si="315"/>
        <v>617594</v>
      </c>
      <c r="AD236" s="103">
        <f t="shared" si="315"/>
        <v>728761</v>
      </c>
      <c r="AE236" s="104">
        <f t="shared" si="313"/>
        <v>4121875</v>
      </c>
      <c r="AF236" s="104">
        <f>SUM(AF231:AF235)</f>
        <v>10083390</v>
      </c>
      <c r="AG236" s="104">
        <f>SUM(AG231:AG235)</f>
        <v>14622429</v>
      </c>
      <c r="AH236" s="104">
        <f>SUM(AH231:AH235)</f>
        <v>19419027</v>
      </c>
      <c r="AI236" s="304" t="s">
        <v>321</v>
      </c>
    </row>
    <row r="237" spans="1:35">
      <c r="A237" s="96"/>
      <c r="B237" s="97"/>
      <c r="C237" s="98"/>
      <c r="D237" s="98"/>
      <c r="E237" s="98"/>
      <c r="F237" s="99"/>
      <c r="G237" s="99"/>
      <c r="H237" s="99"/>
      <c r="I237" s="99"/>
      <c r="J237" s="99"/>
      <c r="K237" s="99"/>
      <c r="L237" s="99"/>
      <c r="M237" s="99"/>
      <c r="N237" s="99"/>
      <c r="O237" s="99"/>
      <c r="P237" s="99"/>
      <c r="Q237" s="99"/>
      <c r="R237" s="100"/>
      <c r="S237" s="99"/>
      <c r="T237" s="99"/>
      <c r="U237" s="99"/>
      <c r="V237" s="99"/>
      <c r="W237" s="99"/>
      <c r="X237" s="99"/>
      <c r="Y237" s="99"/>
      <c r="Z237" s="99"/>
      <c r="AA237" s="99"/>
      <c r="AB237" s="99"/>
      <c r="AC237" s="99"/>
      <c r="AD237" s="99"/>
      <c r="AE237" s="100"/>
      <c r="AF237" s="100"/>
      <c r="AG237" s="100"/>
      <c r="AH237" s="100"/>
      <c r="AI237" s="304" t="s">
        <v>321</v>
      </c>
    </row>
    <row r="238" spans="1:35">
      <c r="A238" s="96" t="s">
        <v>241</v>
      </c>
      <c r="B238" s="97"/>
      <c r="C238" s="98"/>
      <c r="D238" s="98"/>
      <c r="E238" s="98"/>
      <c r="F238" s="99"/>
      <c r="G238" s="99"/>
      <c r="H238" s="99"/>
      <c r="I238" s="99"/>
      <c r="J238" s="99"/>
      <c r="K238" s="99"/>
      <c r="L238" s="99"/>
      <c r="M238" s="99"/>
      <c r="N238" s="99"/>
      <c r="O238" s="99"/>
      <c r="P238" s="99"/>
      <c r="Q238" s="99"/>
      <c r="R238" s="100"/>
      <c r="S238" s="99"/>
      <c r="T238" s="99"/>
      <c r="U238" s="99"/>
      <c r="V238" s="99"/>
      <c r="W238" s="99"/>
      <c r="X238" s="99"/>
      <c r="Y238" s="99"/>
      <c r="Z238" s="99"/>
      <c r="AA238" s="99"/>
      <c r="AB238" s="99"/>
      <c r="AC238" s="99"/>
      <c r="AD238" s="99"/>
      <c r="AE238" s="100"/>
      <c r="AF238" s="100"/>
      <c r="AG238" s="100"/>
      <c r="AH238" s="100"/>
      <c r="AI238" s="304" t="s">
        <v>321</v>
      </c>
    </row>
    <row r="239" spans="1:35" s="155" customFormat="1">
      <c r="A239" s="150"/>
      <c r="B239" s="151" t="str">
        <f>B231</f>
        <v>PEP Straw 1</v>
      </c>
      <c r="C239" s="152"/>
      <c r="D239" s="152"/>
      <c r="E239" s="152"/>
      <c r="F239" s="153">
        <v>1.05</v>
      </c>
      <c r="G239" s="153">
        <f>F239</f>
        <v>1.05</v>
      </c>
      <c r="H239" s="153">
        <f t="shared" ref="H239:Q239" si="316">G239</f>
        <v>1.05</v>
      </c>
      <c r="I239" s="153">
        <f t="shared" si="316"/>
        <v>1.05</v>
      </c>
      <c r="J239" s="153">
        <f t="shared" si="316"/>
        <v>1.05</v>
      </c>
      <c r="K239" s="153">
        <f t="shared" si="316"/>
        <v>1.05</v>
      </c>
      <c r="L239" s="153">
        <f t="shared" si="316"/>
        <v>1.05</v>
      </c>
      <c r="M239" s="153">
        <f t="shared" si="316"/>
        <v>1.05</v>
      </c>
      <c r="N239" s="153">
        <f t="shared" si="316"/>
        <v>1.05</v>
      </c>
      <c r="O239" s="153">
        <f t="shared" si="316"/>
        <v>1.05</v>
      </c>
      <c r="P239" s="153">
        <f t="shared" si="316"/>
        <v>1.05</v>
      </c>
      <c r="Q239" s="153">
        <f t="shared" si="316"/>
        <v>1.05</v>
      </c>
      <c r="R239" s="193">
        <f t="shared" ref="R239:AE239" si="317">Q239</f>
        <v>1.05</v>
      </c>
      <c r="S239" s="153">
        <f>Q239</f>
        <v>1.05</v>
      </c>
      <c r="T239" s="153">
        <f t="shared" ref="T239:AD239" si="318">R239</f>
        <v>1.05</v>
      </c>
      <c r="U239" s="153">
        <f t="shared" si="318"/>
        <v>1.05</v>
      </c>
      <c r="V239" s="153">
        <f t="shared" si="318"/>
        <v>1.05</v>
      </c>
      <c r="W239" s="153">
        <f t="shared" si="318"/>
        <v>1.05</v>
      </c>
      <c r="X239" s="153">
        <f t="shared" si="318"/>
        <v>1.05</v>
      </c>
      <c r="Y239" s="153">
        <f t="shared" si="318"/>
        <v>1.05</v>
      </c>
      <c r="Z239" s="153">
        <f t="shared" si="318"/>
        <v>1.05</v>
      </c>
      <c r="AA239" s="153">
        <f t="shared" si="318"/>
        <v>1.05</v>
      </c>
      <c r="AB239" s="153">
        <f t="shared" si="318"/>
        <v>1.05</v>
      </c>
      <c r="AC239" s="153">
        <f t="shared" si="318"/>
        <v>1.05</v>
      </c>
      <c r="AD239" s="153">
        <f t="shared" si="318"/>
        <v>1.05</v>
      </c>
      <c r="AE239" s="193">
        <f t="shared" si="317"/>
        <v>1.05</v>
      </c>
      <c r="AF239" s="154">
        <f>AD239</f>
        <v>1.05</v>
      </c>
      <c r="AG239" s="154">
        <f>AF239</f>
        <v>1.05</v>
      </c>
      <c r="AH239" s="154">
        <f t="shared" ref="AH239:AH241" si="319">AG239</f>
        <v>1.05</v>
      </c>
      <c r="AI239" s="304" t="s">
        <v>321</v>
      </c>
    </row>
    <row r="240" spans="1:35" s="155" customFormat="1">
      <c r="A240" s="150"/>
      <c r="B240" s="151" t="str">
        <f>B232</f>
        <v>PEP Straw 2</v>
      </c>
      <c r="C240" s="152"/>
      <c r="D240" s="152"/>
      <c r="E240" s="152"/>
      <c r="F240" s="153"/>
      <c r="G240" s="153"/>
      <c r="H240" s="153"/>
      <c r="I240" s="153"/>
      <c r="J240" s="153"/>
      <c r="K240" s="153"/>
      <c r="L240" s="153"/>
      <c r="M240" s="153"/>
      <c r="N240" s="153"/>
      <c r="O240" s="153"/>
      <c r="P240" s="153"/>
      <c r="Q240" s="153"/>
      <c r="R240" s="193">
        <f t="shared" ref="R240:AE241" si="320">Q240</f>
        <v>0</v>
      </c>
      <c r="S240" s="153"/>
      <c r="T240" s="153"/>
      <c r="U240" s="153"/>
      <c r="V240" s="153"/>
      <c r="W240" s="153"/>
      <c r="X240" s="153"/>
      <c r="Y240" s="153"/>
      <c r="Z240" s="153"/>
      <c r="AA240" s="153"/>
      <c r="AB240" s="153"/>
      <c r="AC240" s="153"/>
      <c r="AD240" s="153"/>
      <c r="AE240" s="193">
        <f t="shared" si="320"/>
        <v>0</v>
      </c>
      <c r="AF240" s="154">
        <f>AF239</f>
        <v>1.05</v>
      </c>
      <c r="AG240" s="154">
        <f t="shared" ref="AG240" si="321">AF240</f>
        <v>1.05</v>
      </c>
      <c r="AH240" s="154">
        <f t="shared" si="319"/>
        <v>1.05</v>
      </c>
      <c r="AI240" s="304" t="s">
        <v>321</v>
      </c>
    </row>
    <row r="241" spans="1:35" s="155" customFormat="1">
      <c r="A241" s="150"/>
      <c r="B241" s="151" t="str">
        <f>B233</f>
        <v>PEP Straw 3</v>
      </c>
      <c r="C241" s="152" t="s">
        <v>359</v>
      </c>
      <c r="D241" s="152"/>
      <c r="E241" s="152"/>
      <c r="F241" s="153"/>
      <c r="G241" s="153"/>
      <c r="H241" s="153"/>
      <c r="I241" s="153"/>
      <c r="J241" s="153"/>
      <c r="K241" s="153"/>
      <c r="L241" s="153"/>
      <c r="M241" s="153"/>
      <c r="N241" s="153"/>
      <c r="O241" s="153"/>
      <c r="P241" s="153"/>
      <c r="Q241" s="153"/>
      <c r="R241" s="193">
        <f t="shared" si="320"/>
        <v>0</v>
      </c>
      <c r="S241" s="153"/>
      <c r="T241" s="153"/>
      <c r="U241" s="153"/>
      <c r="V241" s="153"/>
      <c r="W241" s="153"/>
      <c r="X241" s="153"/>
      <c r="Y241" s="153"/>
      <c r="Z241" s="153"/>
      <c r="AA241" s="153"/>
      <c r="AB241" s="153"/>
      <c r="AC241" s="153"/>
      <c r="AD241" s="153"/>
      <c r="AE241" s="193">
        <f t="shared" si="320"/>
        <v>0</v>
      </c>
      <c r="AF241" s="154">
        <f>AF240</f>
        <v>1.05</v>
      </c>
      <c r="AG241" s="154">
        <f t="shared" ref="AG241" si="322">AF241</f>
        <v>1.05</v>
      </c>
      <c r="AH241" s="154">
        <f t="shared" si="319"/>
        <v>1.05</v>
      </c>
      <c r="AI241" s="304" t="s">
        <v>321</v>
      </c>
    </row>
    <row r="242" spans="1:35" s="155" customFormat="1">
      <c r="A242" s="150"/>
      <c r="B242" s="151" t="str">
        <f>B234</f>
        <v>PRODUCT 4</v>
      </c>
      <c r="C242" s="152"/>
      <c r="D242" s="152"/>
      <c r="E242" s="152"/>
      <c r="F242" s="153"/>
      <c r="G242" s="153"/>
      <c r="H242" s="153"/>
      <c r="I242" s="153"/>
      <c r="J242" s="153"/>
      <c r="K242" s="153"/>
      <c r="L242" s="153"/>
      <c r="M242" s="153"/>
      <c r="N242" s="153"/>
      <c r="O242" s="153"/>
      <c r="P242" s="153"/>
      <c r="Q242" s="153"/>
      <c r="R242" s="193">
        <f t="shared" ref="R242:AE242" si="323">Q242</f>
        <v>0</v>
      </c>
      <c r="S242" s="153"/>
      <c r="T242" s="153"/>
      <c r="U242" s="153"/>
      <c r="V242" s="153"/>
      <c r="W242" s="153"/>
      <c r="X242" s="153"/>
      <c r="Y242" s="153"/>
      <c r="Z242" s="153"/>
      <c r="AA242" s="153"/>
      <c r="AB242" s="153"/>
      <c r="AC242" s="153"/>
      <c r="AD242" s="153"/>
      <c r="AE242" s="193">
        <f t="shared" si="323"/>
        <v>0</v>
      </c>
      <c r="AF242" s="154"/>
      <c r="AG242" s="154"/>
      <c r="AH242" s="154"/>
      <c r="AI242" s="304" t="s">
        <v>321</v>
      </c>
    </row>
    <row r="243" spans="1:35" s="155" customFormat="1">
      <c r="A243" s="150"/>
      <c r="B243" s="151" t="str">
        <f>B235</f>
        <v>PRODUCT 5</v>
      </c>
      <c r="C243" s="152"/>
      <c r="D243" s="152"/>
      <c r="E243" s="152"/>
      <c r="F243" s="153"/>
      <c r="G243" s="153"/>
      <c r="H243" s="153"/>
      <c r="I243" s="153"/>
      <c r="J243" s="153"/>
      <c r="K243" s="153"/>
      <c r="L243" s="153"/>
      <c r="M243" s="153"/>
      <c r="N243" s="153"/>
      <c r="O243" s="153"/>
      <c r="P243" s="153"/>
      <c r="Q243" s="153"/>
      <c r="R243" s="193">
        <f t="shared" ref="R243:AE243" si="324">Q243</f>
        <v>0</v>
      </c>
      <c r="S243" s="153"/>
      <c r="T243" s="153"/>
      <c r="U243" s="153"/>
      <c r="V243" s="153"/>
      <c r="W243" s="153"/>
      <c r="X243" s="153"/>
      <c r="Y243" s="153"/>
      <c r="Z243" s="153"/>
      <c r="AA243" s="153"/>
      <c r="AB243" s="153"/>
      <c r="AC243" s="153"/>
      <c r="AD243" s="153"/>
      <c r="AE243" s="193">
        <f t="shared" si="324"/>
        <v>0</v>
      </c>
      <c r="AF243" s="154"/>
      <c r="AG243" s="154"/>
      <c r="AH243" s="154"/>
      <c r="AI243" s="304" t="s">
        <v>321</v>
      </c>
    </row>
    <row r="244" spans="1:35">
      <c r="A244" s="96"/>
      <c r="B244" s="97"/>
      <c r="C244" s="98"/>
      <c r="D244" s="98"/>
      <c r="E244" s="98"/>
      <c r="F244" s="156"/>
      <c r="G244" s="99"/>
      <c r="H244" s="99"/>
      <c r="I244" s="99"/>
      <c r="J244" s="99"/>
      <c r="K244" s="99"/>
      <c r="L244" s="99"/>
      <c r="M244" s="99"/>
      <c r="N244" s="99"/>
      <c r="O244" s="99"/>
      <c r="P244" s="99"/>
      <c r="Q244" s="99"/>
      <c r="R244" s="100"/>
      <c r="S244" s="99"/>
      <c r="T244" s="99"/>
      <c r="U244" s="99"/>
      <c r="V244" s="99"/>
      <c r="W244" s="99"/>
      <c r="X244" s="99"/>
      <c r="Y244" s="99"/>
      <c r="Z244" s="99"/>
      <c r="AA244" s="99"/>
      <c r="AB244" s="99"/>
      <c r="AC244" s="99"/>
      <c r="AD244" s="99"/>
      <c r="AE244" s="100"/>
      <c r="AF244" s="100"/>
      <c r="AG244" s="100"/>
      <c r="AH244" s="100"/>
      <c r="AI244" s="304" t="s">
        <v>321</v>
      </c>
    </row>
    <row r="245" spans="1:35">
      <c r="A245" s="96" t="s">
        <v>189</v>
      </c>
      <c r="B245" s="97"/>
      <c r="C245" s="98"/>
      <c r="D245" s="98"/>
      <c r="E245" s="98"/>
      <c r="F245" s="156"/>
      <c r="G245" s="99"/>
      <c r="H245" s="157"/>
      <c r="I245" s="99"/>
      <c r="J245" s="99"/>
      <c r="K245" s="99"/>
      <c r="L245" s="99"/>
      <c r="M245" s="99"/>
      <c r="N245" s="99"/>
      <c r="O245" s="99"/>
      <c r="P245" s="99"/>
      <c r="Q245" s="99"/>
      <c r="R245" s="100"/>
      <c r="S245" s="99"/>
      <c r="T245" s="99"/>
      <c r="U245" s="99"/>
      <c r="V245" s="99"/>
      <c r="W245" s="99"/>
      <c r="X245" s="99"/>
      <c r="Y245" s="99"/>
      <c r="Z245" s="99"/>
      <c r="AA245" s="99"/>
      <c r="AB245" s="99"/>
      <c r="AC245" s="99"/>
      <c r="AD245" s="99"/>
      <c r="AE245" s="100"/>
      <c r="AF245" s="100"/>
      <c r="AG245" s="100"/>
      <c r="AH245" s="100"/>
      <c r="AI245" s="304" t="s">
        <v>321</v>
      </c>
    </row>
    <row r="246" spans="1:35">
      <c r="A246" s="96"/>
      <c r="B246" s="97" t="str">
        <f>B231</f>
        <v>PEP Straw 1</v>
      </c>
      <c r="C246" s="98"/>
      <c r="D246" s="98"/>
      <c r="E246" s="98"/>
      <c r="F246" s="67">
        <f>F239*F231</f>
        <v>0</v>
      </c>
      <c r="G246" s="67">
        <f t="shared" ref="G246:Q246" si="325">G239*G231</f>
        <v>0</v>
      </c>
      <c r="H246" s="67">
        <f t="shared" si="325"/>
        <v>0</v>
      </c>
      <c r="I246" s="67">
        <f t="shared" si="325"/>
        <v>5250</v>
      </c>
      <c r="J246" s="67">
        <f t="shared" si="325"/>
        <v>7875</v>
      </c>
      <c r="K246" s="67">
        <f t="shared" si="325"/>
        <v>10500</v>
      </c>
      <c r="L246" s="67">
        <f t="shared" si="325"/>
        <v>13125</v>
      </c>
      <c r="M246" s="67">
        <f t="shared" si="325"/>
        <v>42000</v>
      </c>
      <c r="N246" s="67">
        <f t="shared" si="325"/>
        <v>44625</v>
      </c>
      <c r="O246" s="67">
        <f t="shared" si="325"/>
        <v>47250</v>
      </c>
      <c r="P246" s="67">
        <f t="shared" si="325"/>
        <v>94500</v>
      </c>
      <c r="Q246" s="67">
        <f t="shared" si="325"/>
        <v>105000</v>
      </c>
      <c r="R246" s="100">
        <f t="shared" ref="R246:R251" si="326">SUM(F246:Q246)</f>
        <v>370125</v>
      </c>
      <c r="S246" s="67">
        <f>S239*S231</f>
        <v>123900</v>
      </c>
      <c r="T246" s="67">
        <f t="shared" ref="T246:AD246" si="327">T239*T231</f>
        <v>146202</v>
      </c>
      <c r="U246" s="67">
        <f t="shared" si="327"/>
        <v>172518.15</v>
      </c>
      <c r="V246" s="67">
        <f t="shared" si="327"/>
        <v>203571.9</v>
      </c>
      <c r="W246" s="67">
        <f t="shared" si="327"/>
        <v>240214.80000000002</v>
      </c>
      <c r="X246" s="67">
        <f t="shared" si="327"/>
        <v>283453.8</v>
      </c>
      <c r="Y246" s="67">
        <f t="shared" si="327"/>
        <v>334475.40000000002</v>
      </c>
      <c r="Z246" s="67">
        <f t="shared" si="327"/>
        <v>394681.35000000003</v>
      </c>
      <c r="AA246" s="67">
        <f t="shared" si="327"/>
        <v>465724.35000000003</v>
      </c>
      <c r="AB246" s="67">
        <f t="shared" si="327"/>
        <v>549554.25</v>
      </c>
      <c r="AC246" s="67">
        <f t="shared" si="327"/>
        <v>648473.70000000007</v>
      </c>
      <c r="AD246" s="67">
        <f t="shared" si="327"/>
        <v>765199.05</v>
      </c>
      <c r="AE246" s="100">
        <f t="shared" ref="AE246:AE251" si="328">SUM(S246:AD246)</f>
        <v>4327968.7500000009</v>
      </c>
      <c r="AF246" s="67">
        <f t="shared" ref="AF246:AH250" si="329">AF239*AF231</f>
        <v>9801677.5500000007</v>
      </c>
      <c r="AG246" s="67">
        <f t="shared" si="329"/>
        <v>11795793.450000001</v>
      </c>
      <c r="AH246" s="67">
        <f t="shared" si="329"/>
        <v>14007459.9</v>
      </c>
      <c r="AI246" s="304" t="s">
        <v>321</v>
      </c>
    </row>
    <row r="247" spans="1:35">
      <c r="A247" s="96"/>
      <c r="B247" s="97" t="str">
        <f>B232</f>
        <v>PEP Straw 2</v>
      </c>
      <c r="C247" s="98"/>
      <c r="D247" s="98"/>
      <c r="E247" s="98"/>
      <c r="F247" s="67">
        <f t="shared" ref="F247:Q250" si="330">F240*F232</f>
        <v>0</v>
      </c>
      <c r="G247" s="67">
        <f t="shared" si="330"/>
        <v>0</v>
      </c>
      <c r="H247" s="67">
        <f t="shared" si="330"/>
        <v>0</v>
      </c>
      <c r="I247" s="67">
        <f t="shared" si="330"/>
        <v>0</v>
      </c>
      <c r="J247" s="67">
        <f t="shared" si="330"/>
        <v>0</v>
      </c>
      <c r="K247" s="67">
        <f t="shared" si="330"/>
        <v>0</v>
      </c>
      <c r="L247" s="67">
        <f t="shared" si="330"/>
        <v>0</v>
      </c>
      <c r="M247" s="67">
        <f t="shared" si="330"/>
        <v>0</v>
      </c>
      <c r="N247" s="67">
        <f t="shared" si="330"/>
        <v>0</v>
      </c>
      <c r="O247" s="67">
        <f t="shared" si="330"/>
        <v>0</v>
      </c>
      <c r="P247" s="67">
        <f t="shared" si="330"/>
        <v>0</v>
      </c>
      <c r="Q247" s="67">
        <f t="shared" si="330"/>
        <v>0</v>
      </c>
      <c r="R247" s="100">
        <f t="shared" si="326"/>
        <v>0</v>
      </c>
      <c r="S247" s="67">
        <f t="shared" ref="S247:AD250" si="331">S240*S232</f>
        <v>0</v>
      </c>
      <c r="T247" s="67">
        <f t="shared" si="331"/>
        <v>0</v>
      </c>
      <c r="U247" s="67">
        <f t="shared" si="331"/>
        <v>0</v>
      </c>
      <c r="V247" s="67">
        <f t="shared" si="331"/>
        <v>0</v>
      </c>
      <c r="W247" s="67">
        <f t="shared" si="331"/>
        <v>0</v>
      </c>
      <c r="X247" s="67">
        <f t="shared" si="331"/>
        <v>0</v>
      </c>
      <c r="Y247" s="67">
        <f t="shared" si="331"/>
        <v>0</v>
      </c>
      <c r="Z247" s="67">
        <f t="shared" si="331"/>
        <v>0</v>
      </c>
      <c r="AA247" s="67">
        <f t="shared" si="331"/>
        <v>0</v>
      </c>
      <c r="AB247" s="67">
        <f t="shared" si="331"/>
        <v>0</v>
      </c>
      <c r="AC247" s="67">
        <f t="shared" si="331"/>
        <v>0</v>
      </c>
      <c r="AD247" s="67">
        <f t="shared" si="331"/>
        <v>0</v>
      </c>
      <c r="AE247" s="100">
        <f t="shared" si="328"/>
        <v>0</v>
      </c>
      <c r="AF247" s="67">
        <f t="shared" si="329"/>
        <v>785881.95000000007</v>
      </c>
      <c r="AG247" s="67">
        <f t="shared" si="329"/>
        <v>2149017.15</v>
      </c>
      <c r="AH247" s="67">
        <f t="shared" si="329"/>
        <v>3612164.85</v>
      </c>
      <c r="AI247" s="304" t="s">
        <v>321</v>
      </c>
    </row>
    <row r="248" spans="1:35">
      <c r="A248" s="96"/>
      <c r="B248" s="97" t="str">
        <f>B233</f>
        <v>PEP Straw 3</v>
      </c>
      <c r="C248" s="98"/>
      <c r="D248" s="98"/>
      <c r="E248" s="98"/>
      <c r="F248" s="67">
        <f t="shared" si="330"/>
        <v>0</v>
      </c>
      <c r="G248" s="67">
        <f t="shared" si="330"/>
        <v>0</v>
      </c>
      <c r="H248" s="67">
        <f t="shared" si="330"/>
        <v>0</v>
      </c>
      <c r="I248" s="67">
        <f t="shared" si="330"/>
        <v>0</v>
      </c>
      <c r="J248" s="67">
        <f t="shared" si="330"/>
        <v>0</v>
      </c>
      <c r="K248" s="67">
        <f t="shared" si="330"/>
        <v>0</v>
      </c>
      <c r="L248" s="67">
        <f t="shared" si="330"/>
        <v>0</v>
      </c>
      <c r="M248" s="67">
        <f t="shared" si="330"/>
        <v>0</v>
      </c>
      <c r="N248" s="67">
        <f t="shared" si="330"/>
        <v>0</v>
      </c>
      <c r="O248" s="67">
        <f t="shared" si="330"/>
        <v>0</v>
      </c>
      <c r="P248" s="67">
        <f t="shared" si="330"/>
        <v>0</v>
      </c>
      <c r="Q248" s="67">
        <f t="shared" si="330"/>
        <v>0</v>
      </c>
      <c r="R248" s="100">
        <f t="shared" si="326"/>
        <v>0</v>
      </c>
      <c r="S248" s="67">
        <f t="shared" si="331"/>
        <v>0</v>
      </c>
      <c r="T248" s="67">
        <f t="shared" si="331"/>
        <v>0</v>
      </c>
      <c r="U248" s="67">
        <f t="shared" si="331"/>
        <v>0</v>
      </c>
      <c r="V248" s="67">
        <f t="shared" si="331"/>
        <v>0</v>
      </c>
      <c r="W248" s="67">
        <f t="shared" si="331"/>
        <v>0</v>
      </c>
      <c r="X248" s="67">
        <f t="shared" si="331"/>
        <v>0</v>
      </c>
      <c r="Y248" s="67">
        <f t="shared" si="331"/>
        <v>0</v>
      </c>
      <c r="Z248" s="67">
        <f t="shared" si="331"/>
        <v>0</v>
      </c>
      <c r="AA248" s="67">
        <f t="shared" si="331"/>
        <v>0</v>
      </c>
      <c r="AB248" s="67">
        <f t="shared" si="331"/>
        <v>0</v>
      </c>
      <c r="AC248" s="67">
        <f t="shared" si="331"/>
        <v>0</v>
      </c>
      <c r="AD248" s="67">
        <f t="shared" si="331"/>
        <v>0</v>
      </c>
      <c r="AE248" s="100">
        <f t="shared" si="328"/>
        <v>0</v>
      </c>
      <c r="AF248" s="67">
        <f t="shared" si="329"/>
        <v>0</v>
      </c>
      <c r="AG248" s="67">
        <f t="shared" si="329"/>
        <v>1408739.85</v>
      </c>
      <c r="AH248" s="67">
        <f t="shared" si="329"/>
        <v>2770353.6</v>
      </c>
      <c r="AI248" s="304" t="s">
        <v>321</v>
      </c>
    </row>
    <row r="249" spans="1:35">
      <c r="A249" s="96"/>
      <c r="B249" s="97" t="str">
        <f>B234</f>
        <v>PRODUCT 4</v>
      </c>
      <c r="C249" s="98"/>
      <c r="D249" s="98"/>
      <c r="E249" s="98"/>
      <c r="F249" s="67">
        <f t="shared" si="330"/>
        <v>0</v>
      </c>
      <c r="G249" s="67">
        <f t="shared" si="330"/>
        <v>0</v>
      </c>
      <c r="H249" s="67">
        <f t="shared" si="330"/>
        <v>0</v>
      </c>
      <c r="I249" s="67">
        <f t="shared" si="330"/>
        <v>0</v>
      </c>
      <c r="J249" s="67">
        <f t="shared" si="330"/>
        <v>0</v>
      </c>
      <c r="K249" s="67">
        <f t="shared" si="330"/>
        <v>0</v>
      </c>
      <c r="L249" s="67">
        <f t="shared" si="330"/>
        <v>0</v>
      </c>
      <c r="M249" s="67">
        <f t="shared" si="330"/>
        <v>0</v>
      </c>
      <c r="N249" s="67">
        <f t="shared" si="330"/>
        <v>0</v>
      </c>
      <c r="O249" s="67">
        <f t="shared" si="330"/>
        <v>0</v>
      </c>
      <c r="P249" s="67">
        <f t="shared" si="330"/>
        <v>0</v>
      </c>
      <c r="Q249" s="67">
        <f t="shared" si="330"/>
        <v>0</v>
      </c>
      <c r="R249" s="100">
        <f t="shared" si="326"/>
        <v>0</v>
      </c>
      <c r="S249" s="67">
        <f t="shared" si="331"/>
        <v>0</v>
      </c>
      <c r="T249" s="67">
        <f t="shared" si="331"/>
        <v>0</v>
      </c>
      <c r="U249" s="67">
        <f t="shared" si="331"/>
        <v>0</v>
      </c>
      <c r="V249" s="67">
        <f t="shared" si="331"/>
        <v>0</v>
      </c>
      <c r="W249" s="67">
        <f t="shared" si="331"/>
        <v>0</v>
      </c>
      <c r="X249" s="67">
        <f t="shared" si="331"/>
        <v>0</v>
      </c>
      <c r="Y249" s="67">
        <f t="shared" si="331"/>
        <v>0</v>
      </c>
      <c r="Z249" s="67">
        <f t="shared" si="331"/>
        <v>0</v>
      </c>
      <c r="AA249" s="67">
        <f t="shared" si="331"/>
        <v>0</v>
      </c>
      <c r="AB249" s="67">
        <f t="shared" si="331"/>
        <v>0</v>
      </c>
      <c r="AC249" s="67">
        <f t="shared" si="331"/>
        <v>0</v>
      </c>
      <c r="AD249" s="67">
        <f t="shared" si="331"/>
        <v>0</v>
      </c>
      <c r="AE249" s="100">
        <f t="shared" si="328"/>
        <v>0</v>
      </c>
      <c r="AF249" s="67">
        <f t="shared" si="329"/>
        <v>0</v>
      </c>
      <c r="AG249" s="67">
        <f t="shared" si="329"/>
        <v>0</v>
      </c>
      <c r="AH249" s="67">
        <f t="shared" si="329"/>
        <v>0</v>
      </c>
      <c r="AI249" s="304" t="s">
        <v>321</v>
      </c>
    </row>
    <row r="250" spans="1:35">
      <c r="A250" s="96"/>
      <c r="B250" s="97" t="str">
        <f>B235</f>
        <v>PRODUCT 5</v>
      </c>
      <c r="C250" s="98"/>
      <c r="D250" s="98"/>
      <c r="E250" s="98"/>
      <c r="F250" s="67">
        <f t="shared" si="330"/>
        <v>0</v>
      </c>
      <c r="G250" s="67">
        <f t="shared" si="330"/>
        <v>0</v>
      </c>
      <c r="H250" s="67">
        <f t="shared" si="330"/>
        <v>0</v>
      </c>
      <c r="I250" s="67">
        <f t="shared" si="330"/>
        <v>0</v>
      </c>
      <c r="J250" s="67">
        <f t="shared" si="330"/>
        <v>0</v>
      </c>
      <c r="K250" s="67">
        <f t="shared" si="330"/>
        <v>0</v>
      </c>
      <c r="L250" s="67">
        <f t="shared" si="330"/>
        <v>0</v>
      </c>
      <c r="M250" s="67">
        <f t="shared" si="330"/>
        <v>0</v>
      </c>
      <c r="N250" s="67">
        <f t="shared" si="330"/>
        <v>0</v>
      </c>
      <c r="O250" s="67">
        <f t="shared" si="330"/>
        <v>0</v>
      </c>
      <c r="P250" s="67">
        <f t="shared" si="330"/>
        <v>0</v>
      </c>
      <c r="Q250" s="67">
        <f t="shared" si="330"/>
        <v>0</v>
      </c>
      <c r="R250" s="100">
        <f t="shared" si="326"/>
        <v>0</v>
      </c>
      <c r="S250" s="67">
        <f t="shared" si="331"/>
        <v>0</v>
      </c>
      <c r="T250" s="67">
        <f t="shared" si="331"/>
        <v>0</v>
      </c>
      <c r="U250" s="67">
        <f t="shared" si="331"/>
        <v>0</v>
      </c>
      <c r="V250" s="67">
        <f t="shared" si="331"/>
        <v>0</v>
      </c>
      <c r="W250" s="67">
        <f t="shared" si="331"/>
        <v>0</v>
      </c>
      <c r="X250" s="67">
        <f t="shared" si="331"/>
        <v>0</v>
      </c>
      <c r="Y250" s="67">
        <f t="shared" si="331"/>
        <v>0</v>
      </c>
      <c r="Z250" s="67">
        <f t="shared" si="331"/>
        <v>0</v>
      </c>
      <c r="AA250" s="67">
        <f t="shared" si="331"/>
        <v>0</v>
      </c>
      <c r="AB250" s="67">
        <f t="shared" si="331"/>
        <v>0</v>
      </c>
      <c r="AC250" s="67">
        <f t="shared" si="331"/>
        <v>0</v>
      </c>
      <c r="AD250" s="67">
        <f t="shared" si="331"/>
        <v>0</v>
      </c>
      <c r="AE250" s="100">
        <f t="shared" si="328"/>
        <v>0</v>
      </c>
      <c r="AF250" s="67">
        <f t="shared" si="329"/>
        <v>0</v>
      </c>
      <c r="AG250" s="67">
        <f t="shared" si="329"/>
        <v>0</v>
      </c>
      <c r="AH250" s="67">
        <f t="shared" si="329"/>
        <v>0</v>
      </c>
      <c r="AI250" s="304" t="s">
        <v>321</v>
      </c>
    </row>
    <row r="251" spans="1:35">
      <c r="A251" s="83" t="s">
        <v>190</v>
      </c>
      <c r="B251" s="102"/>
      <c r="C251" s="85"/>
      <c r="D251" s="85"/>
      <c r="E251" s="85"/>
      <c r="F251" s="110">
        <f>SUM(F246:F250)</f>
        <v>0</v>
      </c>
      <c r="G251" s="110">
        <f t="shared" ref="G251:Q251" si="332">SUM(G246:G250)</f>
        <v>0</v>
      </c>
      <c r="H251" s="110">
        <f t="shared" si="332"/>
        <v>0</v>
      </c>
      <c r="I251" s="110">
        <f t="shared" si="332"/>
        <v>5250</v>
      </c>
      <c r="J251" s="110">
        <f t="shared" si="332"/>
        <v>7875</v>
      </c>
      <c r="K251" s="103">
        <f t="shared" si="332"/>
        <v>10500</v>
      </c>
      <c r="L251" s="103">
        <f t="shared" si="332"/>
        <v>13125</v>
      </c>
      <c r="M251" s="103">
        <f t="shared" si="332"/>
        <v>42000</v>
      </c>
      <c r="N251" s="103">
        <f t="shared" si="332"/>
        <v>44625</v>
      </c>
      <c r="O251" s="103">
        <f t="shared" si="332"/>
        <v>47250</v>
      </c>
      <c r="P251" s="103">
        <f t="shared" si="332"/>
        <v>94500</v>
      </c>
      <c r="Q251" s="103">
        <f t="shared" si="332"/>
        <v>105000</v>
      </c>
      <c r="R251" s="104">
        <f t="shared" si="326"/>
        <v>370125</v>
      </c>
      <c r="S251" s="103">
        <f t="shared" ref="S251:AD251" si="333">SUM(S246:S250)</f>
        <v>123900</v>
      </c>
      <c r="T251" s="103">
        <f t="shared" si="333"/>
        <v>146202</v>
      </c>
      <c r="U251" s="103">
        <f t="shared" si="333"/>
        <v>172518.15</v>
      </c>
      <c r="V251" s="103">
        <f t="shared" si="333"/>
        <v>203571.9</v>
      </c>
      <c r="W251" s="103">
        <f t="shared" si="333"/>
        <v>240214.80000000002</v>
      </c>
      <c r="X251" s="103">
        <f t="shared" si="333"/>
        <v>283453.8</v>
      </c>
      <c r="Y251" s="103">
        <f t="shared" si="333"/>
        <v>334475.40000000002</v>
      </c>
      <c r="Z251" s="103">
        <f t="shared" si="333"/>
        <v>394681.35000000003</v>
      </c>
      <c r="AA251" s="103">
        <f t="shared" si="333"/>
        <v>465724.35000000003</v>
      </c>
      <c r="AB251" s="103">
        <f t="shared" si="333"/>
        <v>549554.25</v>
      </c>
      <c r="AC251" s="103">
        <f t="shared" si="333"/>
        <v>648473.70000000007</v>
      </c>
      <c r="AD251" s="103">
        <f t="shared" si="333"/>
        <v>765199.05</v>
      </c>
      <c r="AE251" s="104">
        <f t="shared" si="328"/>
        <v>4327968.7500000009</v>
      </c>
      <c r="AF251" s="104">
        <f>SUM(AF246:AF250)</f>
        <v>10587559.5</v>
      </c>
      <c r="AG251" s="104">
        <f>SUM(AG246:AG250)</f>
        <v>15353550.450000001</v>
      </c>
      <c r="AH251" s="104">
        <f>SUM(AH246:AH250)</f>
        <v>20389978.350000001</v>
      </c>
      <c r="AI251" s="304" t="s">
        <v>321</v>
      </c>
    </row>
    <row r="252" spans="1:35">
      <c r="A252" s="158"/>
      <c r="B252" s="159"/>
      <c r="C252" s="160"/>
      <c r="D252" s="160"/>
      <c r="E252" s="160"/>
      <c r="F252" s="161"/>
      <c r="G252" s="161"/>
      <c r="H252" s="161"/>
      <c r="I252" s="161"/>
      <c r="J252" s="161"/>
      <c r="K252" s="161"/>
      <c r="L252" s="161"/>
      <c r="M252" s="161"/>
      <c r="N252" s="161"/>
      <c r="O252" s="161"/>
      <c r="P252" s="161"/>
      <c r="Q252" s="161"/>
      <c r="R252" s="162"/>
      <c r="S252" s="161"/>
      <c r="T252" s="161"/>
      <c r="U252" s="161"/>
      <c r="V252" s="161"/>
      <c r="W252" s="161"/>
      <c r="X252" s="161"/>
      <c r="Y252" s="161"/>
      <c r="Z252" s="161"/>
      <c r="AA252" s="161"/>
      <c r="AB252" s="161"/>
      <c r="AC252" s="161"/>
      <c r="AD252" s="161"/>
      <c r="AE252" s="162"/>
      <c r="AF252" s="162"/>
      <c r="AG252" s="162"/>
      <c r="AH252" s="162"/>
      <c r="AI252" s="304" t="s">
        <v>321</v>
      </c>
    </row>
    <row r="253" spans="1:35" ht="8.25" thickBot="1">
      <c r="A253" s="96"/>
      <c r="B253" s="97"/>
      <c r="C253" s="98"/>
      <c r="D253" s="98"/>
      <c r="E253" s="98"/>
      <c r="F253" s="99"/>
      <c r="G253" s="99"/>
      <c r="H253" s="99"/>
      <c r="I253" s="99"/>
      <c r="J253" s="99"/>
      <c r="K253" s="99"/>
      <c r="L253" s="99"/>
      <c r="M253" s="99"/>
      <c r="N253" s="99"/>
      <c r="O253" s="99"/>
      <c r="P253" s="99"/>
      <c r="Q253" s="99"/>
      <c r="R253" s="100"/>
      <c r="S253" s="99"/>
      <c r="T253" s="99"/>
      <c r="U253" s="99"/>
      <c r="V253" s="99"/>
      <c r="W253" s="99"/>
      <c r="X253" s="99"/>
      <c r="Y253" s="99"/>
      <c r="Z253" s="99"/>
      <c r="AA253" s="99"/>
      <c r="AB253" s="99"/>
      <c r="AC253" s="99"/>
      <c r="AD253" s="99"/>
      <c r="AE253" s="100"/>
      <c r="AF253" s="100"/>
      <c r="AG253" s="100"/>
      <c r="AH253" s="100"/>
      <c r="AI253" s="304" t="s">
        <v>321</v>
      </c>
    </row>
    <row r="254" spans="1:35" s="65" customFormat="1" ht="8.25" thickTop="1">
      <c r="A254" s="73" t="s">
        <v>289</v>
      </c>
      <c r="B254" s="74"/>
      <c r="C254" s="75"/>
      <c r="D254" s="75"/>
      <c r="E254" s="75"/>
      <c r="F254" s="105"/>
      <c r="G254" s="105"/>
      <c r="H254" s="105"/>
      <c r="I254" s="105"/>
      <c r="J254" s="105"/>
      <c r="K254" s="105"/>
      <c r="L254" s="105"/>
      <c r="M254" s="105"/>
      <c r="N254" s="105"/>
      <c r="O254" s="105"/>
      <c r="P254" s="105"/>
      <c r="Q254" s="105"/>
      <c r="R254" s="106"/>
      <c r="S254" s="105"/>
      <c r="T254" s="105"/>
      <c r="U254" s="105"/>
      <c r="V254" s="105"/>
      <c r="W254" s="105"/>
      <c r="X254" s="105"/>
      <c r="Y254" s="105"/>
      <c r="Z254" s="105"/>
      <c r="AA254" s="105"/>
      <c r="AB254" s="105"/>
      <c r="AC254" s="105"/>
      <c r="AD254" s="105"/>
      <c r="AE254" s="106"/>
      <c r="AF254" s="106"/>
      <c r="AG254" s="106"/>
      <c r="AH254" s="106"/>
      <c r="AI254" s="304" t="s">
        <v>321</v>
      </c>
    </row>
    <row r="255" spans="1:35" s="65" customFormat="1" ht="8.25" thickBot="1">
      <c r="A255" s="78" t="str">
        <f>$A$1</f>
        <v>PEP STRAW</v>
      </c>
      <c r="B255" s="79"/>
      <c r="C255" s="80"/>
      <c r="D255" s="80"/>
      <c r="E255" s="80"/>
      <c r="F255" s="107"/>
      <c r="G255" s="107"/>
      <c r="H255" s="107"/>
      <c r="I255" s="107"/>
      <c r="J255" s="107"/>
      <c r="K255" s="107"/>
      <c r="L255" s="107"/>
      <c r="M255" s="107"/>
      <c r="N255" s="107"/>
      <c r="O255" s="107"/>
      <c r="P255" s="107"/>
      <c r="Q255" s="107"/>
      <c r="R255" s="108"/>
      <c r="S255" s="107"/>
      <c r="T255" s="107"/>
      <c r="U255" s="107"/>
      <c r="V255" s="107"/>
      <c r="W255" s="107"/>
      <c r="X255" s="107"/>
      <c r="Y255" s="107"/>
      <c r="Z255" s="107"/>
      <c r="AA255" s="107"/>
      <c r="AB255" s="107"/>
      <c r="AC255" s="107"/>
      <c r="AD255" s="107"/>
      <c r="AE255" s="108"/>
      <c r="AF255" s="108"/>
      <c r="AG255" s="108"/>
      <c r="AH255" s="108"/>
      <c r="AI255" s="304" t="s">
        <v>321</v>
      </c>
    </row>
    <row r="256" spans="1:35" ht="8.25" thickTop="1">
      <c r="A256" s="83"/>
      <c r="B256" s="84">
        <f ca="1">NOW()</f>
        <v>44371.35163020833</v>
      </c>
      <c r="C256" s="138"/>
      <c r="D256" s="138"/>
      <c r="E256" s="138" t="s">
        <v>211</v>
      </c>
      <c r="F256" s="86" t="str">
        <f t="shared" ref="F256:Q256" si="334">F$8</f>
        <v>Month 1</v>
      </c>
      <c r="G256" s="86" t="str">
        <f t="shared" si="334"/>
        <v>Month 2</v>
      </c>
      <c r="H256" s="86" t="str">
        <f t="shared" si="334"/>
        <v>Month 3</v>
      </c>
      <c r="I256" s="86" t="str">
        <f t="shared" si="334"/>
        <v>Month 4</v>
      </c>
      <c r="J256" s="86" t="str">
        <f t="shared" si="334"/>
        <v>Month 5</v>
      </c>
      <c r="K256" s="86" t="str">
        <f t="shared" si="334"/>
        <v>Month 6</v>
      </c>
      <c r="L256" s="86" t="str">
        <f t="shared" si="334"/>
        <v>Month 7</v>
      </c>
      <c r="M256" s="86" t="str">
        <f t="shared" si="334"/>
        <v>Month 8</v>
      </c>
      <c r="N256" s="86" t="str">
        <f t="shared" si="334"/>
        <v>Month 9</v>
      </c>
      <c r="O256" s="86" t="str">
        <f t="shared" si="334"/>
        <v>Month 10</v>
      </c>
      <c r="P256" s="86" t="str">
        <f t="shared" si="334"/>
        <v>Month 11</v>
      </c>
      <c r="Q256" s="86" t="str">
        <f t="shared" si="334"/>
        <v>Month 12</v>
      </c>
      <c r="R256" s="87" t="s">
        <v>127</v>
      </c>
      <c r="S256" s="86" t="str">
        <f t="shared" ref="S256:AD256" si="335">S$8</f>
        <v>Month 13</v>
      </c>
      <c r="T256" s="86" t="str">
        <f t="shared" si="335"/>
        <v>Month 14</v>
      </c>
      <c r="U256" s="86" t="str">
        <f t="shared" si="335"/>
        <v>Month 15</v>
      </c>
      <c r="V256" s="86" t="str">
        <f t="shared" si="335"/>
        <v>Month 16</v>
      </c>
      <c r="W256" s="86" t="str">
        <f t="shared" si="335"/>
        <v>Month 17</v>
      </c>
      <c r="X256" s="86" t="str">
        <f t="shared" si="335"/>
        <v>Month 18</v>
      </c>
      <c r="Y256" s="86" t="str">
        <f t="shared" si="335"/>
        <v>Month 19</v>
      </c>
      <c r="Z256" s="86" t="str">
        <f t="shared" si="335"/>
        <v>Month 20</v>
      </c>
      <c r="AA256" s="86" t="str">
        <f t="shared" si="335"/>
        <v>Month 21</v>
      </c>
      <c r="AB256" s="86" t="str">
        <f t="shared" si="335"/>
        <v>Month 22</v>
      </c>
      <c r="AC256" s="86" t="str">
        <f t="shared" si="335"/>
        <v>Month 23</v>
      </c>
      <c r="AD256" s="86" t="str">
        <f t="shared" si="335"/>
        <v>Month 24</v>
      </c>
      <c r="AE256" s="87" t="s">
        <v>127</v>
      </c>
      <c r="AF256" s="87" t="str">
        <f>AF$8</f>
        <v>Total</v>
      </c>
      <c r="AG256" s="87" t="str">
        <f>AG$8</f>
        <v>Total</v>
      </c>
      <c r="AH256" s="87" t="str">
        <f>AH$8</f>
        <v>Total</v>
      </c>
      <c r="AI256" s="304" t="s">
        <v>321</v>
      </c>
    </row>
    <row r="257" spans="1:35">
      <c r="A257" s="89"/>
      <c r="B257" s="90">
        <f ca="1">NOW()</f>
        <v>44371.35163020833</v>
      </c>
      <c r="C257" s="91"/>
      <c r="D257" s="91"/>
      <c r="E257" s="91"/>
      <c r="F257" s="92">
        <f t="shared" ref="F257:AH257" si="336">F$1</f>
        <v>43466</v>
      </c>
      <c r="G257" s="92">
        <f t="shared" si="336"/>
        <v>43497</v>
      </c>
      <c r="H257" s="92">
        <f t="shared" si="336"/>
        <v>43528</v>
      </c>
      <c r="I257" s="92">
        <f t="shared" si="336"/>
        <v>43559</v>
      </c>
      <c r="J257" s="92">
        <f t="shared" si="336"/>
        <v>43590</v>
      </c>
      <c r="K257" s="92">
        <f t="shared" si="336"/>
        <v>43621</v>
      </c>
      <c r="L257" s="92">
        <f t="shared" si="336"/>
        <v>43652</v>
      </c>
      <c r="M257" s="92">
        <f t="shared" si="336"/>
        <v>43683</v>
      </c>
      <c r="N257" s="92">
        <f t="shared" si="336"/>
        <v>43714</v>
      </c>
      <c r="O257" s="92">
        <f t="shared" si="336"/>
        <v>43745</v>
      </c>
      <c r="P257" s="92">
        <f t="shared" si="336"/>
        <v>43776</v>
      </c>
      <c r="Q257" s="92">
        <f t="shared" si="336"/>
        <v>43807</v>
      </c>
      <c r="R257" s="93">
        <f t="shared" si="336"/>
        <v>43807</v>
      </c>
      <c r="S257" s="92">
        <f t="shared" si="336"/>
        <v>43838</v>
      </c>
      <c r="T257" s="92">
        <f t="shared" si="336"/>
        <v>43869</v>
      </c>
      <c r="U257" s="92">
        <f t="shared" si="336"/>
        <v>43900</v>
      </c>
      <c r="V257" s="92">
        <f t="shared" si="336"/>
        <v>43931</v>
      </c>
      <c r="W257" s="92">
        <f t="shared" si="336"/>
        <v>43962</v>
      </c>
      <c r="X257" s="92">
        <f t="shared" si="336"/>
        <v>43993</v>
      </c>
      <c r="Y257" s="92">
        <f t="shared" si="336"/>
        <v>44024</v>
      </c>
      <c r="Z257" s="92">
        <f t="shared" si="336"/>
        <v>44055</v>
      </c>
      <c r="AA257" s="92">
        <f t="shared" si="336"/>
        <v>44086</v>
      </c>
      <c r="AB257" s="92">
        <f t="shared" si="336"/>
        <v>44117</v>
      </c>
      <c r="AC257" s="92">
        <f t="shared" si="336"/>
        <v>44148</v>
      </c>
      <c r="AD257" s="92">
        <f t="shared" si="336"/>
        <v>44179</v>
      </c>
      <c r="AE257" s="93">
        <f t="shared" si="336"/>
        <v>44179</v>
      </c>
      <c r="AF257" s="93">
        <f t="shared" si="336"/>
        <v>44544</v>
      </c>
      <c r="AG257" s="93">
        <f t="shared" si="336"/>
        <v>44909</v>
      </c>
      <c r="AH257" s="93">
        <f t="shared" si="336"/>
        <v>45274</v>
      </c>
      <c r="AI257" s="304" t="s">
        <v>321</v>
      </c>
    </row>
    <row r="258" spans="1:35">
      <c r="A258" s="89"/>
      <c r="B258" s="90"/>
      <c r="C258" s="98"/>
      <c r="D258" s="98"/>
      <c r="E258" s="98"/>
      <c r="F258" s="92"/>
      <c r="G258" s="92"/>
      <c r="H258" s="92"/>
      <c r="I258" s="92"/>
      <c r="J258" s="92"/>
      <c r="K258" s="92"/>
      <c r="L258" s="92"/>
      <c r="M258" s="92"/>
      <c r="N258" s="92"/>
      <c r="O258" s="92"/>
      <c r="P258" s="92"/>
      <c r="Q258" s="92"/>
      <c r="R258" s="93"/>
      <c r="S258" s="92"/>
      <c r="T258" s="92"/>
      <c r="U258" s="92"/>
      <c r="V258" s="92"/>
      <c r="W258" s="92"/>
      <c r="X258" s="92"/>
      <c r="Y258" s="92"/>
      <c r="Z258" s="92"/>
      <c r="AA258" s="92"/>
      <c r="AB258" s="92"/>
      <c r="AC258" s="92"/>
      <c r="AD258" s="92"/>
      <c r="AE258" s="93"/>
      <c r="AF258" s="93"/>
      <c r="AG258" s="93"/>
      <c r="AH258" s="93"/>
      <c r="AI258" s="304" t="s">
        <v>321</v>
      </c>
    </row>
    <row r="259" spans="1:35">
      <c r="A259" s="163" t="str">
        <f>Assumptions!I15</f>
        <v>Engineering</v>
      </c>
      <c r="B259" s="145"/>
      <c r="C259" s="98"/>
      <c r="D259" s="98"/>
      <c r="E259" s="98"/>
      <c r="F259" s="99"/>
      <c r="G259" s="99"/>
      <c r="H259" s="99"/>
      <c r="I259" s="99"/>
      <c r="J259" s="99"/>
      <c r="K259" s="99"/>
      <c r="L259" s="99"/>
      <c r="M259" s="99"/>
      <c r="N259" s="99"/>
      <c r="O259" s="99"/>
      <c r="P259" s="99"/>
      <c r="Q259" s="99"/>
      <c r="R259" s="100"/>
      <c r="S259" s="99"/>
      <c r="T259" s="99"/>
      <c r="U259" s="99"/>
      <c r="V259" s="99"/>
      <c r="W259" s="99"/>
      <c r="X259" s="99"/>
      <c r="Y259" s="99"/>
      <c r="Z259" s="99"/>
      <c r="AA259" s="99"/>
      <c r="AB259" s="99"/>
      <c r="AC259" s="99"/>
      <c r="AD259" s="99"/>
      <c r="AE259" s="100"/>
      <c r="AF259" s="100"/>
      <c r="AG259" s="100"/>
      <c r="AH259" s="100"/>
      <c r="AI259" s="304" t="s">
        <v>321</v>
      </c>
    </row>
    <row r="260" spans="1:35">
      <c r="A260" s="96"/>
      <c r="B260" s="164" t="s">
        <v>413</v>
      </c>
      <c r="C260" s="98"/>
      <c r="D260" s="98"/>
      <c r="E260" s="408">
        <v>0</v>
      </c>
      <c r="F260" s="408">
        <v>0</v>
      </c>
      <c r="G260" s="409">
        <f>F260</f>
        <v>0</v>
      </c>
      <c r="H260" s="409">
        <f t="shared" ref="H260:Q260" si="337">G260</f>
        <v>0</v>
      </c>
      <c r="I260" s="409">
        <f t="shared" si="337"/>
        <v>0</v>
      </c>
      <c r="J260" s="409">
        <f t="shared" si="337"/>
        <v>0</v>
      </c>
      <c r="K260" s="409">
        <v>0</v>
      </c>
      <c r="L260" s="409">
        <f t="shared" si="337"/>
        <v>0</v>
      </c>
      <c r="M260" s="409">
        <f t="shared" si="337"/>
        <v>0</v>
      </c>
      <c r="N260" s="409">
        <f t="shared" si="337"/>
        <v>0</v>
      </c>
      <c r="O260" s="409">
        <f t="shared" si="337"/>
        <v>0</v>
      </c>
      <c r="P260" s="409">
        <f t="shared" si="337"/>
        <v>0</v>
      </c>
      <c r="Q260" s="409">
        <f t="shared" si="337"/>
        <v>0</v>
      </c>
      <c r="R260" s="116">
        <f t="shared" ref="R260:S267" si="338">Q260</f>
        <v>0</v>
      </c>
      <c r="S260" s="410">
        <v>0</v>
      </c>
      <c r="T260" s="410">
        <f t="shared" ref="T260:AD260" si="339">S260</f>
        <v>0</v>
      </c>
      <c r="U260" s="410">
        <f t="shared" si="339"/>
        <v>0</v>
      </c>
      <c r="V260" s="410">
        <f t="shared" si="339"/>
        <v>0</v>
      </c>
      <c r="W260" s="410">
        <f t="shared" si="339"/>
        <v>0</v>
      </c>
      <c r="X260" s="410">
        <f t="shared" si="339"/>
        <v>0</v>
      </c>
      <c r="Y260" s="410">
        <f t="shared" si="339"/>
        <v>0</v>
      </c>
      <c r="Z260" s="410">
        <f t="shared" si="339"/>
        <v>0</v>
      </c>
      <c r="AA260" s="410">
        <f t="shared" si="339"/>
        <v>0</v>
      </c>
      <c r="AB260" s="410">
        <f t="shared" si="339"/>
        <v>0</v>
      </c>
      <c r="AC260" s="410">
        <f t="shared" si="339"/>
        <v>0</v>
      </c>
      <c r="AD260" s="410">
        <f t="shared" si="339"/>
        <v>0</v>
      </c>
      <c r="AE260" s="116">
        <f t="shared" ref="AE260:AH262" si="340">AD260</f>
        <v>0</v>
      </c>
      <c r="AF260" s="412">
        <f t="shared" si="340"/>
        <v>0</v>
      </c>
      <c r="AG260" s="412">
        <f t="shared" si="340"/>
        <v>0</v>
      </c>
      <c r="AH260" s="412">
        <f t="shared" si="340"/>
        <v>0</v>
      </c>
      <c r="AI260" s="304" t="s">
        <v>321</v>
      </c>
    </row>
    <row r="261" spans="1:35">
      <c r="A261" s="96"/>
      <c r="B261" s="164" t="s">
        <v>348</v>
      </c>
      <c r="C261" s="98"/>
      <c r="D261" s="98"/>
      <c r="E261" s="409">
        <v>0</v>
      </c>
      <c r="F261" s="409">
        <v>0</v>
      </c>
      <c r="G261" s="409">
        <f>F261</f>
        <v>0</v>
      </c>
      <c r="H261" s="409">
        <f t="shared" ref="H261:Q261" si="341">G261</f>
        <v>0</v>
      </c>
      <c r="I261" s="409">
        <f t="shared" si="341"/>
        <v>0</v>
      </c>
      <c r="J261" s="409">
        <f t="shared" si="341"/>
        <v>0</v>
      </c>
      <c r="K261" s="409">
        <v>0.5</v>
      </c>
      <c r="L261" s="409">
        <f t="shared" si="341"/>
        <v>0.5</v>
      </c>
      <c r="M261" s="409">
        <f t="shared" si="341"/>
        <v>0.5</v>
      </c>
      <c r="N261" s="409">
        <f t="shared" si="341"/>
        <v>0.5</v>
      </c>
      <c r="O261" s="409">
        <f t="shared" si="341"/>
        <v>0.5</v>
      </c>
      <c r="P261" s="409">
        <f t="shared" si="341"/>
        <v>0.5</v>
      </c>
      <c r="Q261" s="409">
        <f t="shared" si="341"/>
        <v>0.5</v>
      </c>
      <c r="R261" s="116">
        <f t="shared" si="338"/>
        <v>0.5</v>
      </c>
      <c r="S261" s="410">
        <v>1</v>
      </c>
      <c r="T261" s="410">
        <f t="shared" ref="T261:AD261" si="342">S261</f>
        <v>1</v>
      </c>
      <c r="U261" s="410">
        <f t="shared" si="342"/>
        <v>1</v>
      </c>
      <c r="V261" s="410">
        <f t="shared" si="342"/>
        <v>1</v>
      </c>
      <c r="W261" s="410">
        <f t="shared" si="342"/>
        <v>1</v>
      </c>
      <c r="X261" s="410">
        <f t="shared" si="342"/>
        <v>1</v>
      </c>
      <c r="Y261" s="410">
        <f t="shared" si="342"/>
        <v>1</v>
      </c>
      <c r="Z261" s="410">
        <f t="shared" si="342"/>
        <v>1</v>
      </c>
      <c r="AA261" s="410">
        <f t="shared" si="342"/>
        <v>1</v>
      </c>
      <c r="AB261" s="410">
        <f t="shared" si="342"/>
        <v>1</v>
      </c>
      <c r="AC261" s="410">
        <f t="shared" si="342"/>
        <v>1</v>
      </c>
      <c r="AD261" s="410">
        <f t="shared" si="342"/>
        <v>1</v>
      </c>
      <c r="AE261" s="116">
        <f t="shared" si="340"/>
        <v>1</v>
      </c>
      <c r="AF261" s="412">
        <f t="shared" si="340"/>
        <v>1</v>
      </c>
      <c r="AG261" s="412">
        <f t="shared" si="340"/>
        <v>1</v>
      </c>
      <c r="AH261" s="412">
        <f t="shared" si="340"/>
        <v>1</v>
      </c>
      <c r="AI261" s="304" t="s">
        <v>321</v>
      </c>
    </row>
    <row r="262" spans="1:35">
      <c r="A262" s="96"/>
      <c r="B262" s="164" t="s">
        <v>313</v>
      </c>
      <c r="C262" s="372"/>
      <c r="D262" s="98"/>
      <c r="E262" s="409">
        <v>0</v>
      </c>
      <c r="F262" s="409">
        <v>0</v>
      </c>
      <c r="G262" s="409">
        <f>F262</f>
        <v>0</v>
      </c>
      <c r="H262" s="409">
        <f t="shared" ref="H262:Q262" si="343">G262</f>
        <v>0</v>
      </c>
      <c r="I262" s="409">
        <f t="shared" si="343"/>
        <v>0</v>
      </c>
      <c r="J262" s="409">
        <f t="shared" si="343"/>
        <v>0</v>
      </c>
      <c r="K262" s="409">
        <f t="shared" si="343"/>
        <v>0</v>
      </c>
      <c r="L262" s="409">
        <f t="shared" si="343"/>
        <v>0</v>
      </c>
      <c r="M262" s="409">
        <f t="shared" si="343"/>
        <v>0</v>
      </c>
      <c r="N262" s="409">
        <f t="shared" si="343"/>
        <v>0</v>
      </c>
      <c r="O262" s="409">
        <f t="shared" si="343"/>
        <v>0</v>
      </c>
      <c r="P262" s="409">
        <f t="shared" si="343"/>
        <v>0</v>
      </c>
      <c r="Q262" s="409">
        <f t="shared" si="343"/>
        <v>0</v>
      </c>
      <c r="R262" s="116">
        <f t="shared" si="338"/>
        <v>0</v>
      </c>
      <c r="S262" s="410">
        <v>0</v>
      </c>
      <c r="T262" s="410">
        <f t="shared" ref="T262:AC262" si="344">S262</f>
        <v>0</v>
      </c>
      <c r="U262" s="410">
        <f t="shared" si="344"/>
        <v>0</v>
      </c>
      <c r="V262" s="410">
        <f t="shared" si="344"/>
        <v>0</v>
      </c>
      <c r="W262" s="410">
        <f t="shared" si="344"/>
        <v>0</v>
      </c>
      <c r="X262" s="410">
        <f t="shared" si="344"/>
        <v>0</v>
      </c>
      <c r="Y262" s="410">
        <f t="shared" si="344"/>
        <v>0</v>
      </c>
      <c r="Z262" s="410">
        <f t="shared" si="344"/>
        <v>0</v>
      </c>
      <c r="AA262" s="410">
        <f t="shared" si="344"/>
        <v>0</v>
      </c>
      <c r="AB262" s="410">
        <f t="shared" si="344"/>
        <v>0</v>
      </c>
      <c r="AC262" s="410">
        <f t="shared" si="344"/>
        <v>0</v>
      </c>
      <c r="AD262" s="410">
        <v>0</v>
      </c>
      <c r="AE262" s="116">
        <f t="shared" si="340"/>
        <v>0</v>
      </c>
      <c r="AF262" s="412">
        <v>1</v>
      </c>
      <c r="AG262" s="412">
        <v>3</v>
      </c>
      <c r="AH262" s="412">
        <f t="shared" si="340"/>
        <v>3</v>
      </c>
      <c r="AI262" s="304" t="s">
        <v>321</v>
      </c>
    </row>
    <row r="263" spans="1:35">
      <c r="A263" s="96"/>
      <c r="B263" s="164"/>
      <c r="C263" s="372"/>
      <c r="D263" s="98"/>
      <c r="E263" s="409">
        <v>0</v>
      </c>
      <c r="F263" s="409">
        <v>0</v>
      </c>
      <c r="G263" s="409">
        <f>F263</f>
        <v>0</v>
      </c>
      <c r="H263" s="409">
        <f t="shared" ref="H263:Q263" si="345">G263</f>
        <v>0</v>
      </c>
      <c r="I263" s="409">
        <f t="shared" si="345"/>
        <v>0</v>
      </c>
      <c r="J263" s="409">
        <f t="shared" si="345"/>
        <v>0</v>
      </c>
      <c r="K263" s="409">
        <f t="shared" si="345"/>
        <v>0</v>
      </c>
      <c r="L263" s="409">
        <f t="shared" si="345"/>
        <v>0</v>
      </c>
      <c r="M263" s="409">
        <f t="shared" si="345"/>
        <v>0</v>
      </c>
      <c r="N263" s="409">
        <f t="shared" si="345"/>
        <v>0</v>
      </c>
      <c r="O263" s="409">
        <f t="shared" si="345"/>
        <v>0</v>
      </c>
      <c r="P263" s="409">
        <f t="shared" si="345"/>
        <v>0</v>
      </c>
      <c r="Q263" s="409">
        <f t="shared" si="345"/>
        <v>0</v>
      </c>
      <c r="R263" s="116">
        <f t="shared" si="338"/>
        <v>0</v>
      </c>
      <c r="S263" s="410">
        <f t="shared" si="338"/>
        <v>0</v>
      </c>
      <c r="T263" s="410">
        <f t="shared" ref="T263:AD263" si="346">S263</f>
        <v>0</v>
      </c>
      <c r="U263" s="410">
        <f t="shared" si="346"/>
        <v>0</v>
      </c>
      <c r="V263" s="410">
        <f t="shared" si="346"/>
        <v>0</v>
      </c>
      <c r="W263" s="410">
        <f t="shared" si="346"/>
        <v>0</v>
      </c>
      <c r="X263" s="410">
        <f t="shared" si="346"/>
        <v>0</v>
      </c>
      <c r="Y263" s="410">
        <f t="shared" si="346"/>
        <v>0</v>
      </c>
      <c r="Z263" s="410">
        <f t="shared" si="346"/>
        <v>0</v>
      </c>
      <c r="AA263" s="410">
        <f t="shared" si="346"/>
        <v>0</v>
      </c>
      <c r="AB263" s="410">
        <f t="shared" si="346"/>
        <v>0</v>
      </c>
      <c r="AC263" s="410">
        <f t="shared" si="346"/>
        <v>0</v>
      </c>
      <c r="AD263" s="410">
        <f t="shared" si="346"/>
        <v>0</v>
      </c>
      <c r="AE263" s="116">
        <f t="shared" ref="AE263:AF266" si="347">AD263</f>
        <v>0</v>
      </c>
      <c r="AF263" s="412">
        <v>0</v>
      </c>
      <c r="AG263" s="412">
        <f t="shared" ref="AG263:AH266" si="348">AF263</f>
        <v>0</v>
      </c>
      <c r="AH263" s="412">
        <f t="shared" si="348"/>
        <v>0</v>
      </c>
      <c r="AI263" s="304" t="s">
        <v>321</v>
      </c>
    </row>
    <row r="264" spans="1:35">
      <c r="A264" s="96"/>
      <c r="B264" s="164"/>
      <c r="C264" s="372"/>
      <c r="D264" s="98"/>
      <c r="E264" s="409">
        <v>0</v>
      </c>
      <c r="F264" s="409">
        <v>0</v>
      </c>
      <c r="G264" s="409">
        <f>F264</f>
        <v>0</v>
      </c>
      <c r="H264" s="409">
        <f t="shared" ref="H264:Q264" si="349">G264</f>
        <v>0</v>
      </c>
      <c r="I264" s="409">
        <f t="shared" si="349"/>
        <v>0</v>
      </c>
      <c r="J264" s="409">
        <f t="shared" si="349"/>
        <v>0</v>
      </c>
      <c r="K264" s="409">
        <f t="shared" si="349"/>
        <v>0</v>
      </c>
      <c r="L264" s="409">
        <f t="shared" si="349"/>
        <v>0</v>
      </c>
      <c r="M264" s="409">
        <f t="shared" si="349"/>
        <v>0</v>
      </c>
      <c r="N264" s="409">
        <f t="shared" si="349"/>
        <v>0</v>
      </c>
      <c r="O264" s="409">
        <f t="shared" si="349"/>
        <v>0</v>
      </c>
      <c r="P264" s="409">
        <f t="shared" si="349"/>
        <v>0</v>
      </c>
      <c r="Q264" s="409">
        <f t="shared" si="349"/>
        <v>0</v>
      </c>
      <c r="R264" s="116">
        <f t="shared" si="338"/>
        <v>0</v>
      </c>
      <c r="S264" s="410">
        <f t="shared" si="338"/>
        <v>0</v>
      </c>
      <c r="T264" s="410">
        <f t="shared" ref="T264:AD264" si="350">S264</f>
        <v>0</v>
      </c>
      <c r="U264" s="410">
        <f t="shared" si="350"/>
        <v>0</v>
      </c>
      <c r="V264" s="410">
        <f t="shared" si="350"/>
        <v>0</v>
      </c>
      <c r="W264" s="410">
        <f t="shared" si="350"/>
        <v>0</v>
      </c>
      <c r="X264" s="410">
        <f t="shared" si="350"/>
        <v>0</v>
      </c>
      <c r="Y264" s="410">
        <f t="shared" si="350"/>
        <v>0</v>
      </c>
      <c r="Z264" s="410">
        <f t="shared" si="350"/>
        <v>0</v>
      </c>
      <c r="AA264" s="410">
        <f t="shared" si="350"/>
        <v>0</v>
      </c>
      <c r="AB264" s="410">
        <f t="shared" si="350"/>
        <v>0</v>
      </c>
      <c r="AC264" s="410">
        <f t="shared" si="350"/>
        <v>0</v>
      </c>
      <c r="AD264" s="410">
        <f t="shared" si="350"/>
        <v>0</v>
      </c>
      <c r="AE264" s="116">
        <f t="shared" si="347"/>
        <v>0</v>
      </c>
      <c r="AF264" s="412">
        <v>0</v>
      </c>
      <c r="AG264" s="412">
        <f t="shared" si="348"/>
        <v>0</v>
      </c>
      <c r="AH264" s="412">
        <f t="shared" si="348"/>
        <v>0</v>
      </c>
      <c r="AI264" s="304" t="s">
        <v>321</v>
      </c>
    </row>
    <row r="265" spans="1:35">
      <c r="A265" s="96"/>
      <c r="B265" s="164"/>
      <c r="C265" s="372"/>
      <c r="D265" s="98"/>
      <c r="E265" s="409">
        <v>0</v>
      </c>
      <c r="F265" s="409">
        <f t="shared" ref="F265" si="351">E265</f>
        <v>0</v>
      </c>
      <c r="G265" s="409">
        <f t="shared" ref="G265:Q265" si="352">F265</f>
        <v>0</v>
      </c>
      <c r="H265" s="409">
        <f t="shared" si="352"/>
        <v>0</v>
      </c>
      <c r="I265" s="409">
        <f t="shared" si="352"/>
        <v>0</v>
      </c>
      <c r="J265" s="409">
        <f t="shared" si="352"/>
        <v>0</v>
      </c>
      <c r="K265" s="409">
        <f t="shared" si="352"/>
        <v>0</v>
      </c>
      <c r="L265" s="409">
        <f t="shared" si="352"/>
        <v>0</v>
      </c>
      <c r="M265" s="409">
        <f t="shared" si="352"/>
        <v>0</v>
      </c>
      <c r="N265" s="409">
        <f t="shared" si="352"/>
        <v>0</v>
      </c>
      <c r="O265" s="409">
        <f t="shared" si="352"/>
        <v>0</v>
      </c>
      <c r="P265" s="409">
        <f t="shared" si="352"/>
        <v>0</v>
      </c>
      <c r="Q265" s="409">
        <f t="shared" si="352"/>
        <v>0</v>
      </c>
      <c r="R265" s="116">
        <f t="shared" si="338"/>
        <v>0</v>
      </c>
      <c r="S265" s="410">
        <f t="shared" si="338"/>
        <v>0</v>
      </c>
      <c r="T265" s="410">
        <f t="shared" ref="T265:AD265" si="353">S265</f>
        <v>0</v>
      </c>
      <c r="U265" s="410">
        <f t="shared" si="353"/>
        <v>0</v>
      </c>
      <c r="V265" s="410">
        <f t="shared" si="353"/>
        <v>0</v>
      </c>
      <c r="W265" s="410">
        <f t="shared" si="353"/>
        <v>0</v>
      </c>
      <c r="X265" s="410">
        <f t="shared" si="353"/>
        <v>0</v>
      </c>
      <c r="Y265" s="410">
        <f t="shared" si="353"/>
        <v>0</v>
      </c>
      <c r="Z265" s="410">
        <f t="shared" si="353"/>
        <v>0</v>
      </c>
      <c r="AA265" s="410">
        <f t="shared" si="353"/>
        <v>0</v>
      </c>
      <c r="AB265" s="410">
        <f t="shared" si="353"/>
        <v>0</v>
      </c>
      <c r="AC265" s="410">
        <f t="shared" si="353"/>
        <v>0</v>
      </c>
      <c r="AD265" s="410">
        <f t="shared" si="353"/>
        <v>0</v>
      </c>
      <c r="AE265" s="116">
        <f t="shared" si="347"/>
        <v>0</v>
      </c>
      <c r="AF265" s="412">
        <f t="shared" si="347"/>
        <v>0</v>
      </c>
      <c r="AG265" s="412">
        <f t="shared" si="348"/>
        <v>0</v>
      </c>
      <c r="AH265" s="412">
        <f t="shared" si="348"/>
        <v>0</v>
      </c>
      <c r="AI265" s="304" t="s">
        <v>321</v>
      </c>
    </row>
    <row r="266" spans="1:35">
      <c r="A266" s="96"/>
      <c r="B266" s="164"/>
      <c r="C266" s="372"/>
      <c r="D266" s="98"/>
      <c r="E266" s="409">
        <v>0</v>
      </c>
      <c r="F266" s="409">
        <v>0</v>
      </c>
      <c r="G266" s="409">
        <f t="shared" ref="G266:Q266" si="354">F266</f>
        <v>0</v>
      </c>
      <c r="H266" s="409">
        <f t="shared" si="354"/>
        <v>0</v>
      </c>
      <c r="I266" s="409">
        <f t="shared" si="354"/>
        <v>0</v>
      </c>
      <c r="J266" s="409">
        <f t="shared" si="354"/>
        <v>0</v>
      </c>
      <c r="K266" s="409">
        <f t="shared" si="354"/>
        <v>0</v>
      </c>
      <c r="L266" s="409">
        <f t="shared" si="354"/>
        <v>0</v>
      </c>
      <c r="M266" s="409">
        <f t="shared" si="354"/>
        <v>0</v>
      </c>
      <c r="N266" s="409">
        <f t="shared" si="354"/>
        <v>0</v>
      </c>
      <c r="O266" s="409">
        <f t="shared" si="354"/>
        <v>0</v>
      </c>
      <c r="P266" s="409">
        <f t="shared" si="354"/>
        <v>0</v>
      </c>
      <c r="Q266" s="409">
        <f t="shared" si="354"/>
        <v>0</v>
      </c>
      <c r="R266" s="116">
        <f t="shared" si="338"/>
        <v>0</v>
      </c>
      <c r="S266" s="410">
        <f t="shared" si="338"/>
        <v>0</v>
      </c>
      <c r="T266" s="410">
        <f t="shared" ref="T266:AD266" si="355">S266</f>
        <v>0</v>
      </c>
      <c r="U266" s="410">
        <f t="shared" si="355"/>
        <v>0</v>
      </c>
      <c r="V266" s="410">
        <f t="shared" si="355"/>
        <v>0</v>
      </c>
      <c r="W266" s="410">
        <f t="shared" si="355"/>
        <v>0</v>
      </c>
      <c r="X266" s="410">
        <f t="shared" si="355"/>
        <v>0</v>
      </c>
      <c r="Y266" s="410">
        <f t="shared" si="355"/>
        <v>0</v>
      </c>
      <c r="Z266" s="410">
        <f t="shared" si="355"/>
        <v>0</v>
      </c>
      <c r="AA266" s="410">
        <f t="shared" si="355"/>
        <v>0</v>
      </c>
      <c r="AB266" s="410">
        <f t="shared" si="355"/>
        <v>0</v>
      </c>
      <c r="AC266" s="410">
        <f t="shared" si="355"/>
        <v>0</v>
      </c>
      <c r="AD266" s="410">
        <f t="shared" si="355"/>
        <v>0</v>
      </c>
      <c r="AE266" s="116">
        <f t="shared" si="347"/>
        <v>0</v>
      </c>
      <c r="AF266" s="412">
        <f t="shared" si="347"/>
        <v>0</v>
      </c>
      <c r="AG266" s="412">
        <f t="shared" si="348"/>
        <v>0</v>
      </c>
      <c r="AH266" s="412">
        <f t="shared" si="348"/>
        <v>0</v>
      </c>
      <c r="AI266" s="304" t="s">
        <v>321</v>
      </c>
    </row>
    <row r="267" spans="1:35">
      <c r="A267" s="83" t="s">
        <v>242</v>
      </c>
      <c r="B267" s="102"/>
      <c r="C267" s="85"/>
      <c r="D267" s="85"/>
      <c r="E267" s="85">
        <f t="shared" ref="E267:Q267" si="356">SUM(E260:E266)</f>
        <v>0</v>
      </c>
      <c r="F267" s="103">
        <f t="shared" si="356"/>
        <v>0</v>
      </c>
      <c r="G267" s="103">
        <f t="shared" si="356"/>
        <v>0</v>
      </c>
      <c r="H267" s="103">
        <f t="shared" si="356"/>
        <v>0</v>
      </c>
      <c r="I267" s="103">
        <f t="shared" si="356"/>
        <v>0</v>
      </c>
      <c r="J267" s="103">
        <f t="shared" si="356"/>
        <v>0</v>
      </c>
      <c r="K267" s="103">
        <f t="shared" si="356"/>
        <v>0.5</v>
      </c>
      <c r="L267" s="103">
        <f t="shared" si="356"/>
        <v>0.5</v>
      </c>
      <c r="M267" s="103">
        <f t="shared" si="356"/>
        <v>0.5</v>
      </c>
      <c r="N267" s="103">
        <f t="shared" si="356"/>
        <v>0.5</v>
      </c>
      <c r="O267" s="103">
        <f t="shared" si="356"/>
        <v>0.5</v>
      </c>
      <c r="P267" s="103">
        <f t="shared" si="356"/>
        <v>0.5</v>
      </c>
      <c r="Q267" s="103">
        <f t="shared" si="356"/>
        <v>0.5</v>
      </c>
      <c r="R267" s="104">
        <f t="shared" si="338"/>
        <v>0.5</v>
      </c>
      <c r="S267" s="103">
        <f t="shared" ref="S267:AD267" si="357">SUM(S260:S266)</f>
        <v>1</v>
      </c>
      <c r="T267" s="103">
        <f t="shared" si="357"/>
        <v>1</v>
      </c>
      <c r="U267" s="103">
        <f t="shared" si="357"/>
        <v>1</v>
      </c>
      <c r="V267" s="103">
        <f t="shared" si="357"/>
        <v>1</v>
      </c>
      <c r="W267" s="103">
        <f t="shared" si="357"/>
        <v>1</v>
      </c>
      <c r="X267" s="103">
        <f t="shared" si="357"/>
        <v>1</v>
      </c>
      <c r="Y267" s="103">
        <f t="shared" si="357"/>
        <v>1</v>
      </c>
      <c r="Z267" s="103">
        <f t="shared" si="357"/>
        <v>1</v>
      </c>
      <c r="AA267" s="103">
        <f t="shared" si="357"/>
        <v>1</v>
      </c>
      <c r="AB267" s="103">
        <f t="shared" si="357"/>
        <v>1</v>
      </c>
      <c r="AC267" s="103">
        <f t="shared" si="357"/>
        <v>1</v>
      </c>
      <c r="AD267" s="103">
        <f t="shared" si="357"/>
        <v>1</v>
      </c>
      <c r="AE267" s="104">
        <f>AD267</f>
        <v>1</v>
      </c>
      <c r="AF267" s="104">
        <f>SUM(AF260:AF266)</f>
        <v>2</v>
      </c>
      <c r="AG267" s="104">
        <f>SUM(AG260:AG266)</f>
        <v>4</v>
      </c>
      <c r="AH267" s="104">
        <f>SUM(AH260:AH266)</f>
        <v>4</v>
      </c>
      <c r="AI267" s="304" t="s">
        <v>321</v>
      </c>
    </row>
    <row r="268" spans="1:35">
      <c r="A268" s="96"/>
      <c r="B268" s="97"/>
      <c r="C268" s="98"/>
      <c r="D268" s="98"/>
      <c r="E268" s="98"/>
      <c r="F268" s="99"/>
      <c r="G268" s="99"/>
      <c r="H268" s="99"/>
      <c r="I268" s="99"/>
      <c r="J268" s="99"/>
      <c r="K268" s="99"/>
      <c r="L268" s="99"/>
      <c r="M268" s="99"/>
      <c r="N268" s="99"/>
      <c r="O268" s="99"/>
      <c r="P268" s="99"/>
      <c r="Q268" s="99"/>
      <c r="R268" s="100"/>
      <c r="S268" s="99"/>
      <c r="T268" s="99"/>
      <c r="U268" s="99"/>
      <c r="V268" s="99"/>
      <c r="W268" s="99"/>
      <c r="X268" s="99"/>
      <c r="Y268" s="99"/>
      <c r="Z268" s="99"/>
      <c r="AA268" s="99"/>
      <c r="AB268" s="99"/>
      <c r="AC268" s="99"/>
      <c r="AD268" s="99"/>
      <c r="AE268" s="100"/>
      <c r="AF268" s="100"/>
      <c r="AG268" s="100"/>
      <c r="AH268" s="100"/>
      <c r="AI268" s="304" t="s">
        <v>321</v>
      </c>
    </row>
    <row r="269" spans="1:35">
      <c r="A269" s="163" t="str">
        <f>Assumptions!I16</f>
        <v>Sales &amp; Marketing</v>
      </c>
      <c r="B269" s="145"/>
      <c r="C269" s="98"/>
      <c r="D269" s="98"/>
      <c r="E269" s="98"/>
      <c r="F269" s="99"/>
      <c r="G269" s="99"/>
      <c r="H269" s="99"/>
      <c r="I269" s="99"/>
      <c r="J269" s="99"/>
      <c r="K269" s="99"/>
      <c r="L269" s="99"/>
      <c r="M269" s="99"/>
      <c r="N269" s="99"/>
      <c r="O269" s="99"/>
      <c r="P269" s="99"/>
      <c r="Q269" s="99"/>
      <c r="R269" s="100"/>
      <c r="S269" s="99"/>
      <c r="T269" s="99"/>
      <c r="U269" s="99"/>
      <c r="V269" s="99"/>
      <c r="W269" s="99"/>
      <c r="X269" s="99"/>
      <c r="Y269" s="99"/>
      <c r="Z269" s="99"/>
      <c r="AA269" s="99"/>
      <c r="AB269" s="99"/>
      <c r="AC269" s="99"/>
      <c r="AD269" s="99"/>
      <c r="AE269" s="100"/>
      <c r="AF269" s="100"/>
      <c r="AG269" s="100"/>
      <c r="AH269" s="100"/>
      <c r="AI269" s="304" t="s">
        <v>321</v>
      </c>
    </row>
    <row r="270" spans="1:35">
      <c r="A270" s="96"/>
      <c r="B270" s="164" t="s">
        <v>412</v>
      </c>
      <c r="C270" s="98"/>
      <c r="D270" s="98"/>
      <c r="E270" s="408">
        <v>0</v>
      </c>
      <c r="F270" s="409">
        <v>0.5</v>
      </c>
      <c r="G270" s="409">
        <f>F270</f>
        <v>0.5</v>
      </c>
      <c r="H270" s="409">
        <f t="shared" ref="H270:Q270" si="358">G270</f>
        <v>0.5</v>
      </c>
      <c r="I270" s="409">
        <f t="shared" si="358"/>
        <v>0.5</v>
      </c>
      <c r="J270" s="409">
        <f t="shared" si="358"/>
        <v>0.5</v>
      </c>
      <c r="K270" s="409">
        <v>0.5</v>
      </c>
      <c r="L270" s="409">
        <f t="shared" si="358"/>
        <v>0.5</v>
      </c>
      <c r="M270" s="409">
        <f t="shared" si="358"/>
        <v>0.5</v>
      </c>
      <c r="N270" s="409">
        <f t="shared" si="358"/>
        <v>0.5</v>
      </c>
      <c r="O270" s="409">
        <f t="shared" si="358"/>
        <v>0.5</v>
      </c>
      <c r="P270" s="409">
        <f t="shared" si="358"/>
        <v>0.5</v>
      </c>
      <c r="Q270" s="409">
        <f t="shared" si="358"/>
        <v>0.5</v>
      </c>
      <c r="R270" s="116">
        <f>Q270</f>
        <v>0.5</v>
      </c>
      <c r="S270" s="411">
        <v>0</v>
      </c>
      <c r="T270" s="410">
        <f t="shared" ref="T270:AD270" si="359">S270</f>
        <v>0</v>
      </c>
      <c r="U270" s="410">
        <f t="shared" si="359"/>
        <v>0</v>
      </c>
      <c r="V270" s="410">
        <f t="shared" si="359"/>
        <v>0</v>
      </c>
      <c r="W270" s="410">
        <f t="shared" si="359"/>
        <v>0</v>
      </c>
      <c r="X270" s="410">
        <f t="shared" si="359"/>
        <v>0</v>
      </c>
      <c r="Y270" s="410">
        <f t="shared" si="359"/>
        <v>0</v>
      </c>
      <c r="Z270" s="410">
        <f t="shared" si="359"/>
        <v>0</v>
      </c>
      <c r="AA270" s="410">
        <f t="shared" si="359"/>
        <v>0</v>
      </c>
      <c r="AB270" s="410">
        <f t="shared" si="359"/>
        <v>0</v>
      </c>
      <c r="AC270" s="410">
        <f t="shared" si="359"/>
        <v>0</v>
      </c>
      <c r="AD270" s="410">
        <f t="shared" si="359"/>
        <v>0</v>
      </c>
      <c r="AE270" s="116">
        <f t="shared" ref="AE270:AH275" si="360">AD270</f>
        <v>0</v>
      </c>
      <c r="AF270" s="413">
        <f t="shared" si="360"/>
        <v>0</v>
      </c>
      <c r="AG270" s="413">
        <f t="shared" si="360"/>
        <v>0</v>
      </c>
      <c r="AH270" s="413">
        <f t="shared" si="360"/>
        <v>0</v>
      </c>
      <c r="AI270" s="304" t="s">
        <v>321</v>
      </c>
    </row>
    <row r="271" spans="1:35">
      <c r="A271" s="96"/>
      <c r="B271" s="164" t="s">
        <v>347</v>
      </c>
      <c r="C271" s="98"/>
      <c r="D271" s="98"/>
      <c r="E271" s="409">
        <v>0</v>
      </c>
      <c r="F271" s="409">
        <v>0</v>
      </c>
      <c r="G271" s="409">
        <f t="shared" ref="G271:Q275" si="361">F271</f>
        <v>0</v>
      </c>
      <c r="H271" s="409">
        <f t="shared" si="361"/>
        <v>0</v>
      </c>
      <c r="I271" s="409">
        <f t="shared" si="361"/>
        <v>0</v>
      </c>
      <c r="J271" s="409">
        <f t="shared" si="361"/>
        <v>0</v>
      </c>
      <c r="K271" s="409">
        <v>0.5</v>
      </c>
      <c r="L271" s="409">
        <f t="shared" si="361"/>
        <v>0.5</v>
      </c>
      <c r="M271" s="409">
        <f t="shared" si="361"/>
        <v>0.5</v>
      </c>
      <c r="N271" s="409">
        <f t="shared" si="361"/>
        <v>0.5</v>
      </c>
      <c r="O271" s="409">
        <f t="shared" si="361"/>
        <v>0.5</v>
      </c>
      <c r="P271" s="409">
        <f t="shared" si="361"/>
        <v>0.5</v>
      </c>
      <c r="Q271" s="409">
        <f t="shared" si="361"/>
        <v>0.5</v>
      </c>
      <c r="R271" s="116">
        <f t="shared" ref="R271:S275" si="362">Q271</f>
        <v>0.5</v>
      </c>
      <c r="S271" s="624">
        <v>1</v>
      </c>
      <c r="T271" s="410">
        <f t="shared" ref="T271:AD271" si="363">S271</f>
        <v>1</v>
      </c>
      <c r="U271" s="410">
        <f t="shared" si="363"/>
        <v>1</v>
      </c>
      <c r="V271" s="410">
        <f t="shared" si="363"/>
        <v>1</v>
      </c>
      <c r="W271" s="410">
        <f t="shared" si="363"/>
        <v>1</v>
      </c>
      <c r="X271" s="410">
        <f t="shared" si="363"/>
        <v>1</v>
      </c>
      <c r="Y271" s="410">
        <f t="shared" si="363"/>
        <v>1</v>
      </c>
      <c r="Z271" s="410">
        <f t="shared" si="363"/>
        <v>1</v>
      </c>
      <c r="AA271" s="410">
        <f t="shared" si="363"/>
        <v>1</v>
      </c>
      <c r="AB271" s="410">
        <f t="shared" si="363"/>
        <v>1</v>
      </c>
      <c r="AC271" s="410">
        <f t="shared" si="363"/>
        <v>1</v>
      </c>
      <c r="AD271" s="410">
        <f t="shared" si="363"/>
        <v>1</v>
      </c>
      <c r="AE271" s="116">
        <f t="shared" si="360"/>
        <v>1</v>
      </c>
      <c r="AF271" s="413">
        <f t="shared" si="360"/>
        <v>1</v>
      </c>
      <c r="AG271" s="413">
        <f t="shared" si="360"/>
        <v>1</v>
      </c>
      <c r="AH271" s="413">
        <f t="shared" si="360"/>
        <v>1</v>
      </c>
      <c r="AI271" s="304" t="s">
        <v>321</v>
      </c>
    </row>
    <row r="272" spans="1:35">
      <c r="A272" s="96"/>
      <c r="B272" s="164" t="s">
        <v>314</v>
      </c>
      <c r="C272" s="98"/>
      <c r="D272" s="98"/>
      <c r="E272" s="409">
        <v>0</v>
      </c>
      <c r="F272" s="409">
        <v>0</v>
      </c>
      <c r="G272" s="409">
        <f t="shared" si="361"/>
        <v>0</v>
      </c>
      <c r="H272" s="409">
        <f t="shared" si="361"/>
        <v>0</v>
      </c>
      <c r="I272" s="409">
        <f t="shared" si="361"/>
        <v>0</v>
      </c>
      <c r="J272" s="409">
        <f t="shared" si="361"/>
        <v>0</v>
      </c>
      <c r="K272" s="409">
        <f t="shared" si="361"/>
        <v>0</v>
      </c>
      <c r="L272" s="409">
        <f t="shared" si="361"/>
        <v>0</v>
      </c>
      <c r="M272" s="409">
        <f t="shared" si="361"/>
        <v>0</v>
      </c>
      <c r="N272" s="409">
        <f t="shared" si="361"/>
        <v>0</v>
      </c>
      <c r="O272" s="409">
        <f t="shared" si="361"/>
        <v>0</v>
      </c>
      <c r="P272" s="409">
        <f t="shared" si="361"/>
        <v>0</v>
      </c>
      <c r="Q272" s="409">
        <f t="shared" si="361"/>
        <v>0</v>
      </c>
      <c r="R272" s="116">
        <f t="shared" si="362"/>
        <v>0</v>
      </c>
      <c r="S272" s="410">
        <f t="shared" si="362"/>
        <v>0</v>
      </c>
      <c r="T272" s="410">
        <f t="shared" ref="T272:AD272" si="364">S272</f>
        <v>0</v>
      </c>
      <c r="U272" s="410">
        <f t="shared" si="364"/>
        <v>0</v>
      </c>
      <c r="V272" s="410">
        <f t="shared" si="364"/>
        <v>0</v>
      </c>
      <c r="W272" s="410">
        <f t="shared" si="364"/>
        <v>0</v>
      </c>
      <c r="X272" s="410">
        <f t="shared" si="364"/>
        <v>0</v>
      </c>
      <c r="Y272" s="410">
        <f t="shared" si="364"/>
        <v>0</v>
      </c>
      <c r="Z272" s="410">
        <f t="shared" si="364"/>
        <v>0</v>
      </c>
      <c r="AA272" s="410">
        <f t="shared" si="364"/>
        <v>0</v>
      </c>
      <c r="AB272" s="410">
        <f t="shared" si="364"/>
        <v>0</v>
      </c>
      <c r="AC272" s="410">
        <f t="shared" si="364"/>
        <v>0</v>
      </c>
      <c r="AD272" s="410">
        <f t="shared" si="364"/>
        <v>0</v>
      </c>
      <c r="AE272" s="116">
        <f t="shared" si="360"/>
        <v>0</v>
      </c>
      <c r="AF272" s="413">
        <f t="shared" si="360"/>
        <v>0</v>
      </c>
      <c r="AG272" s="413">
        <v>1</v>
      </c>
      <c r="AH272" s="413">
        <f t="shared" si="360"/>
        <v>1</v>
      </c>
      <c r="AI272" s="304" t="s">
        <v>321</v>
      </c>
    </row>
    <row r="273" spans="1:35">
      <c r="A273" s="96"/>
      <c r="B273" s="164" t="s">
        <v>498</v>
      </c>
      <c r="C273" s="98"/>
      <c r="D273" s="98"/>
      <c r="E273" s="409">
        <v>0</v>
      </c>
      <c r="F273" s="409">
        <f t="shared" ref="F273:F274" si="365">E273</f>
        <v>0</v>
      </c>
      <c r="G273" s="409">
        <f t="shared" si="361"/>
        <v>0</v>
      </c>
      <c r="H273" s="409">
        <f t="shared" si="361"/>
        <v>0</v>
      </c>
      <c r="I273" s="409">
        <f t="shared" si="361"/>
        <v>0</v>
      </c>
      <c r="J273" s="409">
        <f t="shared" si="361"/>
        <v>0</v>
      </c>
      <c r="K273" s="409">
        <f t="shared" si="361"/>
        <v>0</v>
      </c>
      <c r="L273" s="409">
        <f t="shared" si="361"/>
        <v>0</v>
      </c>
      <c r="M273" s="409">
        <f t="shared" si="361"/>
        <v>0</v>
      </c>
      <c r="N273" s="409">
        <f t="shared" si="361"/>
        <v>0</v>
      </c>
      <c r="O273" s="409">
        <f t="shared" si="361"/>
        <v>0</v>
      </c>
      <c r="P273" s="409">
        <f t="shared" si="361"/>
        <v>0</v>
      </c>
      <c r="Q273" s="409">
        <f t="shared" si="361"/>
        <v>0</v>
      </c>
      <c r="R273" s="116">
        <f t="shared" si="362"/>
        <v>0</v>
      </c>
      <c r="S273" s="411">
        <v>1</v>
      </c>
      <c r="T273" s="410">
        <v>2</v>
      </c>
      <c r="U273" s="410">
        <v>3</v>
      </c>
      <c r="V273" s="410">
        <f t="shared" ref="V273:AD273" si="366">U273</f>
        <v>3</v>
      </c>
      <c r="W273" s="410">
        <f t="shared" si="366"/>
        <v>3</v>
      </c>
      <c r="X273" s="410">
        <f t="shared" si="366"/>
        <v>3</v>
      </c>
      <c r="Y273" s="410">
        <f t="shared" si="366"/>
        <v>3</v>
      </c>
      <c r="Z273" s="410">
        <f t="shared" si="366"/>
        <v>3</v>
      </c>
      <c r="AA273" s="410">
        <f t="shared" si="366"/>
        <v>3</v>
      </c>
      <c r="AB273" s="410">
        <f t="shared" si="366"/>
        <v>3</v>
      </c>
      <c r="AC273" s="410">
        <f t="shared" si="366"/>
        <v>3</v>
      </c>
      <c r="AD273" s="410">
        <f t="shared" si="366"/>
        <v>3</v>
      </c>
      <c r="AE273" s="116">
        <f t="shared" si="360"/>
        <v>3</v>
      </c>
      <c r="AF273" s="413">
        <v>5</v>
      </c>
      <c r="AG273" s="413">
        <v>7</v>
      </c>
      <c r="AH273" s="413">
        <v>9</v>
      </c>
      <c r="AI273" s="304" t="s">
        <v>321</v>
      </c>
    </row>
    <row r="274" spans="1:35">
      <c r="A274" s="96"/>
      <c r="B274" s="164"/>
      <c r="C274" s="98"/>
      <c r="D274" s="98"/>
      <c r="E274" s="409">
        <v>0</v>
      </c>
      <c r="F274" s="409">
        <f t="shared" si="365"/>
        <v>0</v>
      </c>
      <c r="G274" s="409">
        <f t="shared" ref="G274" si="367">F274</f>
        <v>0</v>
      </c>
      <c r="H274" s="409">
        <f t="shared" si="361"/>
        <v>0</v>
      </c>
      <c r="I274" s="409">
        <f t="shared" si="361"/>
        <v>0</v>
      </c>
      <c r="J274" s="409">
        <f t="shared" si="361"/>
        <v>0</v>
      </c>
      <c r="K274" s="409">
        <f t="shared" si="361"/>
        <v>0</v>
      </c>
      <c r="L274" s="409">
        <f t="shared" si="361"/>
        <v>0</v>
      </c>
      <c r="M274" s="409">
        <f t="shared" si="361"/>
        <v>0</v>
      </c>
      <c r="N274" s="409">
        <f t="shared" si="361"/>
        <v>0</v>
      </c>
      <c r="O274" s="409">
        <f t="shared" si="361"/>
        <v>0</v>
      </c>
      <c r="P274" s="409">
        <f t="shared" si="361"/>
        <v>0</v>
      </c>
      <c r="Q274" s="409">
        <f t="shared" si="361"/>
        <v>0</v>
      </c>
      <c r="R274" s="116">
        <f t="shared" si="362"/>
        <v>0</v>
      </c>
      <c r="S274" s="411">
        <v>0</v>
      </c>
      <c r="T274" s="410">
        <f t="shared" ref="T274:AD274" si="368">S274</f>
        <v>0</v>
      </c>
      <c r="U274" s="410">
        <f t="shared" si="368"/>
        <v>0</v>
      </c>
      <c r="V274" s="410">
        <f t="shared" si="368"/>
        <v>0</v>
      </c>
      <c r="W274" s="410">
        <f t="shared" si="368"/>
        <v>0</v>
      </c>
      <c r="X274" s="410">
        <f t="shared" si="368"/>
        <v>0</v>
      </c>
      <c r="Y274" s="410">
        <f t="shared" si="368"/>
        <v>0</v>
      </c>
      <c r="Z274" s="410">
        <f t="shared" si="368"/>
        <v>0</v>
      </c>
      <c r="AA274" s="410">
        <f t="shared" si="368"/>
        <v>0</v>
      </c>
      <c r="AB274" s="410">
        <f t="shared" si="368"/>
        <v>0</v>
      </c>
      <c r="AC274" s="410">
        <f t="shared" si="368"/>
        <v>0</v>
      </c>
      <c r="AD274" s="410">
        <f t="shared" si="368"/>
        <v>0</v>
      </c>
      <c r="AE274" s="116">
        <f t="shared" si="360"/>
        <v>0</v>
      </c>
      <c r="AF274" s="413">
        <f t="shared" si="360"/>
        <v>0</v>
      </c>
      <c r="AG274" s="413">
        <f t="shared" si="360"/>
        <v>0</v>
      </c>
      <c r="AH274" s="413">
        <f t="shared" si="360"/>
        <v>0</v>
      </c>
      <c r="AI274" s="304" t="s">
        <v>321</v>
      </c>
    </row>
    <row r="275" spans="1:35">
      <c r="A275" s="96"/>
      <c r="B275" s="164"/>
      <c r="C275" s="98"/>
      <c r="D275" s="98"/>
      <c r="E275" s="409">
        <v>0</v>
      </c>
      <c r="F275" s="409">
        <v>0</v>
      </c>
      <c r="G275" s="409">
        <f t="shared" si="361"/>
        <v>0</v>
      </c>
      <c r="H275" s="409">
        <f t="shared" si="361"/>
        <v>0</v>
      </c>
      <c r="I275" s="409">
        <f t="shared" si="361"/>
        <v>0</v>
      </c>
      <c r="J275" s="409">
        <f t="shared" si="361"/>
        <v>0</v>
      </c>
      <c r="K275" s="409">
        <f t="shared" si="361"/>
        <v>0</v>
      </c>
      <c r="L275" s="409">
        <f t="shared" si="361"/>
        <v>0</v>
      </c>
      <c r="M275" s="409">
        <f t="shared" si="361"/>
        <v>0</v>
      </c>
      <c r="N275" s="409">
        <f t="shared" si="361"/>
        <v>0</v>
      </c>
      <c r="O275" s="409">
        <f t="shared" si="361"/>
        <v>0</v>
      </c>
      <c r="P275" s="409">
        <f t="shared" si="361"/>
        <v>0</v>
      </c>
      <c r="Q275" s="409">
        <f t="shared" si="361"/>
        <v>0</v>
      </c>
      <c r="R275" s="116">
        <f t="shared" si="362"/>
        <v>0</v>
      </c>
      <c r="S275" s="410">
        <f t="shared" si="362"/>
        <v>0</v>
      </c>
      <c r="T275" s="410">
        <f t="shared" ref="T275:AD275" si="369">S275</f>
        <v>0</v>
      </c>
      <c r="U275" s="410">
        <f t="shared" si="369"/>
        <v>0</v>
      </c>
      <c r="V275" s="410">
        <f t="shared" si="369"/>
        <v>0</v>
      </c>
      <c r="W275" s="410">
        <f t="shared" si="369"/>
        <v>0</v>
      </c>
      <c r="X275" s="410">
        <f t="shared" si="369"/>
        <v>0</v>
      </c>
      <c r="Y275" s="410">
        <f t="shared" si="369"/>
        <v>0</v>
      </c>
      <c r="Z275" s="410">
        <f t="shared" si="369"/>
        <v>0</v>
      </c>
      <c r="AA275" s="410">
        <f t="shared" si="369"/>
        <v>0</v>
      </c>
      <c r="AB275" s="410">
        <f t="shared" si="369"/>
        <v>0</v>
      </c>
      <c r="AC275" s="410">
        <f t="shared" si="369"/>
        <v>0</v>
      </c>
      <c r="AD275" s="410">
        <f t="shared" si="369"/>
        <v>0</v>
      </c>
      <c r="AE275" s="116">
        <f t="shared" si="360"/>
        <v>0</v>
      </c>
      <c r="AF275" s="413">
        <f t="shared" si="360"/>
        <v>0</v>
      </c>
      <c r="AG275" s="413">
        <f t="shared" si="360"/>
        <v>0</v>
      </c>
      <c r="AH275" s="413">
        <f t="shared" si="360"/>
        <v>0</v>
      </c>
      <c r="AI275" s="304" t="s">
        <v>321</v>
      </c>
    </row>
    <row r="276" spans="1:35">
      <c r="A276" s="83" t="s">
        <v>242</v>
      </c>
      <c r="B276" s="102"/>
      <c r="C276" s="85"/>
      <c r="D276" s="85"/>
      <c r="E276" s="85">
        <f t="shared" ref="E276:Q276" si="370">SUM(E270:E275)</f>
        <v>0</v>
      </c>
      <c r="F276" s="103">
        <f t="shared" si="370"/>
        <v>0.5</v>
      </c>
      <c r="G276" s="103">
        <f t="shared" si="370"/>
        <v>0.5</v>
      </c>
      <c r="H276" s="103">
        <f t="shared" si="370"/>
        <v>0.5</v>
      </c>
      <c r="I276" s="103">
        <f t="shared" si="370"/>
        <v>0.5</v>
      </c>
      <c r="J276" s="103">
        <f t="shared" si="370"/>
        <v>0.5</v>
      </c>
      <c r="K276" s="103">
        <f t="shared" si="370"/>
        <v>1</v>
      </c>
      <c r="L276" s="103">
        <f t="shared" si="370"/>
        <v>1</v>
      </c>
      <c r="M276" s="103">
        <f t="shared" si="370"/>
        <v>1</v>
      </c>
      <c r="N276" s="103">
        <f t="shared" si="370"/>
        <v>1</v>
      </c>
      <c r="O276" s="103">
        <f t="shared" si="370"/>
        <v>1</v>
      </c>
      <c r="P276" s="103">
        <f t="shared" si="370"/>
        <v>1</v>
      </c>
      <c r="Q276" s="103">
        <f t="shared" si="370"/>
        <v>1</v>
      </c>
      <c r="R276" s="104">
        <f>Q276</f>
        <v>1</v>
      </c>
      <c r="S276" s="103">
        <f t="shared" ref="S276:AD276" si="371">SUM(S270:S275)</f>
        <v>2</v>
      </c>
      <c r="T276" s="103">
        <f t="shared" si="371"/>
        <v>3</v>
      </c>
      <c r="U276" s="103">
        <f t="shared" si="371"/>
        <v>4</v>
      </c>
      <c r="V276" s="103">
        <f t="shared" si="371"/>
        <v>4</v>
      </c>
      <c r="W276" s="103">
        <f t="shared" si="371"/>
        <v>4</v>
      </c>
      <c r="X276" s="103">
        <f t="shared" si="371"/>
        <v>4</v>
      </c>
      <c r="Y276" s="103">
        <f t="shared" si="371"/>
        <v>4</v>
      </c>
      <c r="Z276" s="103">
        <f t="shared" si="371"/>
        <v>4</v>
      </c>
      <c r="AA276" s="103">
        <f t="shared" si="371"/>
        <v>4</v>
      </c>
      <c r="AB276" s="103">
        <f t="shared" si="371"/>
        <v>4</v>
      </c>
      <c r="AC276" s="103">
        <f t="shared" si="371"/>
        <v>4</v>
      </c>
      <c r="AD276" s="103">
        <f t="shared" si="371"/>
        <v>4</v>
      </c>
      <c r="AE276" s="104">
        <f>AD276</f>
        <v>4</v>
      </c>
      <c r="AF276" s="104">
        <f>SUM(AF270:AF275)</f>
        <v>6</v>
      </c>
      <c r="AG276" s="104">
        <f>SUM(AG270:AG275)</f>
        <v>9</v>
      </c>
      <c r="AH276" s="104">
        <f>SUM(AH270:AH275)</f>
        <v>11</v>
      </c>
      <c r="AI276" s="304" t="s">
        <v>321</v>
      </c>
    </row>
    <row r="277" spans="1:35">
      <c r="A277" s="96"/>
      <c r="B277" s="97"/>
      <c r="C277" s="98"/>
      <c r="D277" s="98"/>
      <c r="E277" s="98"/>
      <c r="F277" s="99"/>
      <c r="G277" s="99"/>
      <c r="H277" s="99"/>
      <c r="I277" s="99"/>
      <c r="J277" s="99"/>
      <c r="K277" s="99"/>
      <c r="L277" s="99"/>
      <c r="M277" s="99"/>
      <c r="N277" s="99"/>
      <c r="O277" s="99"/>
      <c r="P277" s="99"/>
      <c r="Q277" s="99"/>
      <c r="R277" s="100"/>
      <c r="S277" s="99"/>
      <c r="T277" s="99"/>
      <c r="U277" s="99"/>
      <c r="V277" s="99"/>
      <c r="W277" s="99"/>
      <c r="X277" s="99"/>
      <c r="Y277" s="99"/>
      <c r="Z277" s="99"/>
      <c r="AA277" s="99"/>
      <c r="AB277" s="99"/>
      <c r="AC277" s="99"/>
      <c r="AD277" s="99"/>
      <c r="AE277" s="100"/>
      <c r="AF277" s="100"/>
      <c r="AG277" s="100"/>
      <c r="AH277" s="100"/>
      <c r="AI277" s="304" t="s">
        <v>321</v>
      </c>
    </row>
    <row r="278" spans="1:35">
      <c r="A278" s="163" t="str">
        <f>Assumptions!I17</f>
        <v>Administration</v>
      </c>
      <c r="B278" s="145"/>
      <c r="C278" s="98"/>
      <c r="D278" s="98"/>
      <c r="E278" s="98"/>
      <c r="F278" s="99"/>
      <c r="G278" s="99"/>
      <c r="H278" s="99"/>
      <c r="I278" s="99"/>
      <c r="J278" s="99"/>
      <c r="K278" s="99"/>
      <c r="L278" s="99"/>
      <c r="M278" s="99"/>
      <c r="N278" s="99"/>
      <c r="O278" s="99"/>
      <c r="P278" s="99"/>
      <c r="Q278" s="99"/>
      <c r="R278" s="100"/>
      <c r="S278" s="99"/>
      <c r="T278" s="99"/>
      <c r="U278" s="99"/>
      <c r="V278" s="99"/>
      <c r="W278" s="99"/>
      <c r="X278" s="99"/>
      <c r="Y278" s="99"/>
      <c r="Z278" s="99"/>
      <c r="AA278" s="99"/>
      <c r="AB278" s="99"/>
      <c r="AC278" s="99"/>
      <c r="AD278" s="99"/>
      <c r="AE278" s="100"/>
      <c r="AF278" s="100"/>
      <c r="AG278" s="100"/>
      <c r="AH278" s="100"/>
      <c r="AI278" s="304" t="s">
        <v>321</v>
      </c>
    </row>
    <row r="279" spans="1:35">
      <c r="A279" s="96"/>
      <c r="B279" s="164" t="s">
        <v>411</v>
      </c>
      <c r="C279" s="98"/>
      <c r="D279" s="98"/>
      <c r="E279" s="407">
        <v>0</v>
      </c>
      <c r="F279" s="407">
        <v>1</v>
      </c>
      <c r="G279" s="407">
        <f>F279</f>
        <v>1</v>
      </c>
      <c r="H279" s="407">
        <f t="shared" ref="H279:Q280" si="372">G279</f>
        <v>1</v>
      </c>
      <c r="I279" s="407">
        <f t="shared" si="372"/>
        <v>1</v>
      </c>
      <c r="J279" s="407">
        <v>1</v>
      </c>
      <c r="K279" s="407">
        <v>0</v>
      </c>
      <c r="L279" s="407">
        <f t="shared" si="372"/>
        <v>0</v>
      </c>
      <c r="M279" s="407">
        <f t="shared" si="372"/>
        <v>0</v>
      </c>
      <c r="N279" s="407">
        <f t="shared" si="372"/>
        <v>0</v>
      </c>
      <c r="O279" s="407">
        <f t="shared" si="372"/>
        <v>0</v>
      </c>
      <c r="P279" s="407">
        <f t="shared" si="372"/>
        <v>0</v>
      </c>
      <c r="Q279" s="407">
        <f t="shared" si="372"/>
        <v>0</v>
      </c>
      <c r="R279" s="116">
        <f t="shared" ref="R279:R285" si="373">Q279</f>
        <v>0</v>
      </c>
      <c r="S279" s="411">
        <v>0</v>
      </c>
      <c r="T279" s="410">
        <f t="shared" ref="T279:AD279" si="374">S279</f>
        <v>0</v>
      </c>
      <c r="U279" s="410">
        <f t="shared" si="374"/>
        <v>0</v>
      </c>
      <c r="V279" s="410">
        <f t="shared" si="374"/>
        <v>0</v>
      </c>
      <c r="W279" s="410">
        <f t="shared" si="374"/>
        <v>0</v>
      </c>
      <c r="X279" s="410">
        <f t="shared" si="374"/>
        <v>0</v>
      </c>
      <c r="Y279" s="410">
        <f t="shared" si="374"/>
        <v>0</v>
      </c>
      <c r="Z279" s="410">
        <f t="shared" si="374"/>
        <v>0</v>
      </c>
      <c r="AA279" s="410">
        <f t="shared" si="374"/>
        <v>0</v>
      </c>
      <c r="AB279" s="410">
        <f t="shared" si="374"/>
        <v>0</v>
      </c>
      <c r="AC279" s="410">
        <f t="shared" si="374"/>
        <v>0</v>
      </c>
      <c r="AD279" s="410">
        <f t="shared" si="374"/>
        <v>0</v>
      </c>
      <c r="AE279" s="116">
        <f>AD279</f>
        <v>0</v>
      </c>
      <c r="AF279" s="412">
        <f>AE279</f>
        <v>0</v>
      </c>
      <c r="AG279" s="412">
        <f>AF279</f>
        <v>0</v>
      </c>
      <c r="AH279" s="412">
        <f>AG279</f>
        <v>0</v>
      </c>
      <c r="AI279" s="304" t="s">
        <v>321</v>
      </c>
    </row>
    <row r="280" spans="1:35">
      <c r="A280" s="96"/>
      <c r="B280" s="164" t="s">
        <v>352</v>
      </c>
      <c r="C280" s="98"/>
      <c r="D280" s="98"/>
      <c r="E280" s="407">
        <v>0</v>
      </c>
      <c r="F280" s="407">
        <v>0</v>
      </c>
      <c r="G280" s="407">
        <v>0</v>
      </c>
      <c r="H280" s="407">
        <v>0</v>
      </c>
      <c r="I280" s="407">
        <v>0</v>
      </c>
      <c r="J280" s="407">
        <v>0</v>
      </c>
      <c r="K280" s="407">
        <v>1</v>
      </c>
      <c r="L280" s="407">
        <f>K280</f>
        <v>1</v>
      </c>
      <c r="M280" s="407">
        <f t="shared" si="372"/>
        <v>1</v>
      </c>
      <c r="N280" s="407">
        <f t="shared" si="372"/>
        <v>1</v>
      </c>
      <c r="O280" s="407">
        <f t="shared" si="372"/>
        <v>1</v>
      </c>
      <c r="P280" s="407">
        <f t="shared" si="372"/>
        <v>1</v>
      </c>
      <c r="Q280" s="407">
        <f t="shared" si="372"/>
        <v>1</v>
      </c>
      <c r="R280" s="116">
        <f t="shared" si="373"/>
        <v>1</v>
      </c>
      <c r="S280" s="410">
        <v>1</v>
      </c>
      <c r="T280" s="410">
        <f t="shared" ref="T280:AF280" si="375">S280</f>
        <v>1</v>
      </c>
      <c r="U280" s="410">
        <f t="shared" si="375"/>
        <v>1</v>
      </c>
      <c r="V280" s="410">
        <f t="shared" si="375"/>
        <v>1</v>
      </c>
      <c r="W280" s="410">
        <f t="shared" si="375"/>
        <v>1</v>
      </c>
      <c r="X280" s="410">
        <f t="shared" si="375"/>
        <v>1</v>
      </c>
      <c r="Y280" s="410">
        <f t="shared" si="375"/>
        <v>1</v>
      </c>
      <c r="Z280" s="410">
        <f t="shared" si="375"/>
        <v>1</v>
      </c>
      <c r="AA280" s="410">
        <f t="shared" si="375"/>
        <v>1</v>
      </c>
      <c r="AB280" s="410">
        <f t="shared" si="375"/>
        <v>1</v>
      </c>
      <c r="AC280" s="410">
        <f t="shared" si="375"/>
        <v>1</v>
      </c>
      <c r="AD280" s="410">
        <f t="shared" si="375"/>
        <v>1</v>
      </c>
      <c r="AE280" s="116">
        <f t="shared" si="375"/>
        <v>1</v>
      </c>
      <c r="AF280" s="412">
        <f t="shared" si="375"/>
        <v>1</v>
      </c>
      <c r="AG280" s="412">
        <f t="shared" ref="AG280:AH285" si="376">AF280</f>
        <v>1</v>
      </c>
      <c r="AH280" s="412">
        <f t="shared" si="376"/>
        <v>1</v>
      </c>
      <c r="AI280" s="304" t="s">
        <v>321</v>
      </c>
    </row>
    <row r="281" spans="1:35">
      <c r="A281" s="96"/>
      <c r="B281" s="164" t="s">
        <v>350</v>
      </c>
      <c r="C281" s="98"/>
      <c r="D281" s="98"/>
      <c r="E281" s="407">
        <v>0</v>
      </c>
      <c r="F281" s="407">
        <v>0</v>
      </c>
      <c r="G281" s="407">
        <v>0</v>
      </c>
      <c r="H281" s="407">
        <v>0</v>
      </c>
      <c r="I281" s="407">
        <v>0</v>
      </c>
      <c r="J281" s="407">
        <v>0</v>
      </c>
      <c r="K281" s="407">
        <v>0.5</v>
      </c>
      <c r="L281" s="407">
        <f t="shared" ref="G281:Q285" si="377">K281</f>
        <v>0.5</v>
      </c>
      <c r="M281" s="407">
        <f t="shared" si="377"/>
        <v>0.5</v>
      </c>
      <c r="N281" s="407">
        <f t="shared" si="377"/>
        <v>0.5</v>
      </c>
      <c r="O281" s="407">
        <f t="shared" si="377"/>
        <v>0.5</v>
      </c>
      <c r="P281" s="407">
        <f t="shared" si="377"/>
        <v>0.5</v>
      </c>
      <c r="Q281" s="407">
        <f t="shared" si="377"/>
        <v>0.5</v>
      </c>
      <c r="R281" s="116">
        <f t="shared" si="373"/>
        <v>0.5</v>
      </c>
      <c r="S281" s="411">
        <v>0</v>
      </c>
      <c r="T281" s="410">
        <f t="shared" ref="T281:AF281" si="378">S281</f>
        <v>0</v>
      </c>
      <c r="U281" s="410">
        <f t="shared" si="378"/>
        <v>0</v>
      </c>
      <c r="V281" s="410">
        <f t="shared" si="378"/>
        <v>0</v>
      </c>
      <c r="W281" s="410">
        <f t="shared" si="378"/>
        <v>0</v>
      </c>
      <c r="X281" s="410">
        <f t="shared" si="378"/>
        <v>0</v>
      </c>
      <c r="Y281" s="410">
        <f t="shared" si="378"/>
        <v>0</v>
      </c>
      <c r="Z281" s="410">
        <f t="shared" si="378"/>
        <v>0</v>
      </c>
      <c r="AA281" s="410">
        <f t="shared" si="378"/>
        <v>0</v>
      </c>
      <c r="AB281" s="410">
        <f t="shared" si="378"/>
        <v>0</v>
      </c>
      <c r="AC281" s="410">
        <f t="shared" si="378"/>
        <v>0</v>
      </c>
      <c r="AD281" s="410">
        <f t="shared" si="378"/>
        <v>0</v>
      </c>
      <c r="AE281" s="116">
        <f t="shared" si="378"/>
        <v>0</v>
      </c>
      <c r="AF281" s="412">
        <f t="shared" si="378"/>
        <v>0</v>
      </c>
      <c r="AG281" s="412">
        <f t="shared" si="376"/>
        <v>0</v>
      </c>
      <c r="AH281" s="412">
        <f t="shared" si="376"/>
        <v>0</v>
      </c>
      <c r="AI281" s="304" t="s">
        <v>321</v>
      </c>
    </row>
    <row r="282" spans="1:35">
      <c r="A282" s="96"/>
      <c r="B282" s="164" t="s">
        <v>351</v>
      </c>
      <c r="C282" s="98"/>
      <c r="D282" s="98"/>
      <c r="E282" s="407">
        <v>0</v>
      </c>
      <c r="F282" s="407">
        <v>0</v>
      </c>
      <c r="G282" s="407">
        <f t="shared" si="377"/>
        <v>0</v>
      </c>
      <c r="H282" s="407">
        <f t="shared" si="377"/>
        <v>0</v>
      </c>
      <c r="I282" s="407">
        <f t="shared" si="377"/>
        <v>0</v>
      </c>
      <c r="J282" s="407">
        <f t="shared" si="377"/>
        <v>0</v>
      </c>
      <c r="K282" s="407">
        <v>0</v>
      </c>
      <c r="L282" s="407">
        <f t="shared" si="377"/>
        <v>0</v>
      </c>
      <c r="M282" s="407">
        <f t="shared" si="377"/>
        <v>0</v>
      </c>
      <c r="N282" s="407">
        <f t="shared" si="377"/>
        <v>0</v>
      </c>
      <c r="O282" s="407">
        <f t="shared" si="377"/>
        <v>0</v>
      </c>
      <c r="P282" s="407">
        <f t="shared" si="377"/>
        <v>0</v>
      </c>
      <c r="Q282" s="407">
        <f t="shared" si="377"/>
        <v>0</v>
      </c>
      <c r="R282" s="116">
        <f t="shared" si="373"/>
        <v>0</v>
      </c>
      <c r="S282" s="410">
        <v>1</v>
      </c>
      <c r="T282" s="410">
        <f t="shared" ref="T282:AF282" si="379">S282</f>
        <v>1</v>
      </c>
      <c r="U282" s="410">
        <f t="shared" si="379"/>
        <v>1</v>
      </c>
      <c r="V282" s="410">
        <f t="shared" si="379"/>
        <v>1</v>
      </c>
      <c r="W282" s="410">
        <f t="shared" si="379"/>
        <v>1</v>
      </c>
      <c r="X282" s="410">
        <f t="shared" si="379"/>
        <v>1</v>
      </c>
      <c r="Y282" s="410">
        <f t="shared" si="379"/>
        <v>1</v>
      </c>
      <c r="Z282" s="410">
        <f t="shared" si="379"/>
        <v>1</v>
      </c>
      <c r="AA282" s="410">
        <f t="shared" si="379"/>
        <v>1</v>
      </c>
      <c r="AB282" s="410">
        <f t="shared" si="379"/>
        <v>1</v>
      </c>
      <c r="AC282" s="410">
        <f t="shared" si="379"/>
        <v>1</v>
      </c>
      <c r="AD282" s="410">
        <f t="shared" si="379"/>
        <v>1</v>
      </c>
      <c r="AE282" s="116">
        <f t="shared" si="379"/>
        <v>1</v>
      </c>
      <c r="AF282" s="412">
        <f t="shared" si="379"/>
        <v>1</v>
      </c>
      <c r="AG282" s="412">
        <f t="shared" si="376"/>
        <v>1</v>
      </c>
      <c r="AH282" s="412">
        <f t="shared" si="376"/>
        <v>1</v>
      </c>
      <c r="AI282" s="304" t="s">
        <v>321</v>
      </c>
    </row>
    <row r="283" spans="1:35">
      <c r="A283" s="96"/>
      <c r="B283" s="164" t="s">
        <v>414</v>
      </c>
      <c r="C283" s="98"/>
      <c r="D283" s="98"/>
      <c r="E283" s="407">
        <v>0</v>
      </c>
      <c r="F283" s="407">
        <v>0.5</v>
      </c>
      <c r="G283" s="407">
        <v>0.5</v>
      </c>
      <c r="H283" s="407">
        <v>0.5</v>
      </c>
      <c r="I283" s="407">
        <v>0.5</v>
      </c>
      <c r="J283" s="407">
        <v>0.5</v>
      </c>
      <c r="K283" s="407">
        <v>0</v>
      </c>
      <c r="L283" s="407">
        <f t="shared" si="377"/>
        <v>0</v>
      </c>
      <c r="M283" s="407">
        <f t="shared" si="377"/>
        <v>0</v>
      </c>
      <c r="N283" s="407">
        <f t="shared" si="377"/>
        <v>0</v>
      </c>
      <c r="O283" s="407">
        <f t="shared" si="377"/>
        <v>0</v>
      </c>
      <c r="P283" s="407">
        <f t="shared" si="377"/>
        <v>0</v>
      </c>
      <c r="Q283" s="407">
        <f t="shared" si="377"/>
        <v>0</v>
      </c>
      <c r="R283" s="116">
        <f t="shared" si="373"/>
        <v>0</v>
      </c>
      <c r="S283" s="411">
        <v>0</v>
      </c>
      <c r="T283" s="410">
        <f t="shared" ref="T283:AG283" si="380">S283</f>
        <v>0</v>
      </c>
      <c r="U283" s="410">
        <f t="shared" si="380"/>
        <v>0</v>
      </c>
      <c r="V283" s="410">
        <f t="shared" si="380"/>
        <v>0</v>
      </c>
      <c r="W283" s="410">
        <f t="shared" si="380"/>
        <v>0</v>
      </c>
      <c r="X283" s="410">
        <f t="shared" si="380"/>
        <v>0</v>
      </c>
      <c r="Y283" s="410">
        <f t="shared" si="380"/>
        <v>0</v>
      </c>
      <c r="Z283" s="410">
        <f t="shared" si="380"/>
        <v>0</v>
      </c>
      <c r="AA283" s="410">
        <f t="shared" si="380"/>
        <v>0</v>
      </c>
      <c r="AB283" s="410">
        <f t="shared" si="380"/>
        <v>0</v>
      </c>
      <c r="AC283" s="410">
        <f t="shared" si="380"/>
        <v>0</v>
      </c>
      <c r="AD283" s="410">
        <f t="shared" si="380"/>
        <v>0</v>
      </c>
      <c r="AE283" s="116">
        <f t="shared" si="380"/>
        <v>0</v>
      </c>
      <c r="AF283" s="412">
        <f t="shared" si="380"/>
        <v>0</v>
      </c>
      <c r="AG283" s="412">
        <f t="shared" si="380"/>
        <v>0</v>
      </c>
      <c r="AH283" s="412">
        <f t="shared" si="376"/>
        <v>0</v>
      </c>
      <c r="AI283" s="304" t="s">
        <v>321</v>
      </c>
    </row>
    <row r="284" spans="1:35">
      <c r="A284" s="96"/>
      <c r="B284" s="164" t="s">
        <v>349</v>
      </c>
      <c r="C284" s="98"/>
      <c r="D284" s="98"/>
      <c r="E284" s="407">
        <v>0</v>
      </c>
      <c r="F284" s="407">
        <v>0</v>
      </c>
      <c r="G284" s="407">
        <f t="shared" si="377"/>
        <v>0</v>
      </c>
      <c r="H284" s="407">
        <f t="shared" si="377"/>
        <v>0</v>
      </c>
      <c r="I284" s="407">
        <f t="shared" si="377"/>
        <v>0</v>
      </c>
      <c r="J284" s="407">
        <f t="shared" si="377"/>
        <v>0</v>
      </c>
      <c r="K284" s="407">
        <v>0.5</v>
      </c>
      <c r="L284" s="407">
        <f t="shared" si="377"/>
        <v>0.5</v>
      </c>
      <c r="M284" s="407">
        <f t="shared" si="377"/>
        <v>0.5</v>
      </c>
      <c r="N284" s="407">
        <f t="shared" si="377"/>
        <v>0.5</v>
      </c>
      <c r="O284" s="407">
        <f t="shared" si="377"/>
        <v>0.5</v>
      </c>
      <c r="P284" s="407">
        <f t="shared" si="377"/>
        <v>0.5</v>
      </c>
      <c r="Q284" s="407">
        <f t="shared" si="377"/>
        <v>0.5</v>
      </c>
      <c r="R284" s="116">
        <f t="shared" si="373"/>
        <v>0.5</v>
      </c>
      <c r="S284" s="410">
        <v>1</v>
      </c>
      <c r="T284" s="410">
        <f t="shared" ref="T284:AF284" si="381">S284</f>
        <v>1</v>
      </c>
      <c r="U284" s="410">
        <f t="shared" si="381"/>
        <v>1</v>
      </c>
      <c r="V284" s="410">
        <f t="shared" si="381"/>
        <v>1</v>
      </c>
      <c r="W284" s="410">
        <f t="shared" si="381"/>
        <v>1</v>
      </c>
      <c r="X284" s="410">
        <f t="shared" si="381"/>
        <v>1</v>
      </c>
      <c r="Y284" s="410">
        <f t="shared" si="381"/>
        <v>1</v>
      </c>
      <c r="Z284" s="410">
        <f t="shared" si="381"/>
        <v>1</v>
      </c>
      <c r="AA284" s="410">
        <f t="shared" si="381"/>
        <v>1</v>
      </c>
      <c r="AB284" s="410">
        <f t="shared" si="381"/>
        <v>1</v>
      </c>
      <c r="AC284" s="410">
        <f t="shared" si="381"/>
        <v>1</v>
      </c>
      <c r="AD284" s="410">
        <f t="shared" si="381"/>
        <v>1</v>
      </c>
      <c r="AE284" s="116">
        <f t="shared" si="381"/>
        <v>1</v>
      </c>
      <c r="AF284" s="412">
        <f t="shared" si="381"/>
        <v>1</v>
      </c>
      <c r="AG284" s="412">
        <f t="shared" si="376"/>
        <v>1</v>
      </c>
      <c r="AH284" s="412">
        <f t="shared" si="376"/>
        <v>1</v>
      </c>
      <c r="AI284" s="304" t="s">
        <v>321</v>
      </c>
    </row>
    <row r="285" spans="1:35">
      <c r="A285" s="96"/>
      <c r="B285" s="164" t="s">
        <v>303</v>
      </c>
      <c r="C285" s="98"/>
      <c r="D285" s="98"/>
      <c r="E285" s="407">
        <v>0</v>
      </c>
      <c r="F285" s="407">
        <v>0</v>
      </c>
      <c r="G285" s="407">
        <f t="shared" si="377"/>
        <v>0</v>
      </c>
      <c r="H285" s="407">
        <f t="shared" si="377"/>
        <v>0</v>
      </c>
      <c r="I285" s="407">
        <f t="shared" si="377"/>
        <v>0</v>
      </c>
      <c r="J285" s="407">
        <f t="shared" si="377"/>
        <v>0</v>
      </c>
      <c r="K285" s="407">
        <f t="shared" si="377"/>
        <v>0</v>
      </c>
      <c r="L285" s="407">
        <f t="shared" si="377"/>
        <v>0</v>
      </c>
      <c r="M285" s="407">
        <f t="shared" si="377"/>
        <v>0</v>
      </c>
      <c r="N285" s="407">
        <f t="shared" si="377"/>
        <v>0</v>
      </c>
      <c r="O285" s="407">
        <f t="shared" si="377"/>
        <v>0</v>
      </c>
      <c r="P285" s="407">
        <f t="shared" si="377"/>
        <v>0</v>
      </c>
      <c r="Q285" s="407">
        <f t="shared" si="377"/>
        <v>0</v>
      </c>
      <c r="R285" s="116">
        <f t="shared" si="373"/>
        <v>0</v>
      </c>
      <c r="S285" s="411">
        <v>1</v>
      </c>
      <c r="T285" s="410">
        <f t="shared" ref="T285:AF285" si="382">S285</f>
        <v>1</v>
      </c>
      <c r="U285" s="410">
        <f t="shared" si="382"/>
        <v>1</v>
      </c>
      <c r="V285" s="410">
        <f t="shared" si="382"/>
        <v>1</v>
      </c>
      <c r="W285" s="410">
        <f t="shared" si="382"/>
        <v>1</v>
      </c>
      <c r="X285" s="410">
        <f t="shared" si="382"/>
        <v>1</v>
      </c>
      <c r="Y285" s="410">
        <f t="shared" si="382"/>
        <v>1</v>
      </c>
      <c r="Z285" s="410">
        <f t="shared" si="382"/>
        <v>1</v>
      </c>
      <c r="AA285" s="410">
        <f t="shared" si="382"/>
        <v>1</v>
      </c>
      <c r="AB285" s="410">
        <f t="shared" si="382"/>
        <v>1</v>
      </c>
      <c r="AC285" s="410">
        <f t="shared" si="382"/>
        <v>1</v>
      </c>
      <c r="AD285" s="410">
        <f t="shared" si="382"/>
        <v>1</v>
      </c>
      <c r="AE285" s="116">
        <f t="shared" si="382"/>
        <v>1</v>
      </c>
      <c r="AF285" s="412">
        <f t="shared" si="382"/>
        <v>1</v>
      </c>
      <c r="AG285" s="412">
        <v>2</v>
      </c>
      <c r="AH285" s="412">
        <f t="shared" si="376"/>
        <v>2</v>
      </c>
      <c r="AI285" s="304" t="s">
        <v>321</v>
      </c>
    </row>
    <row r="286" spans="1:35">
      <c r="A286" s="83" t="s">
        <v>242</v>
      </c>
      <c r="B286" s="102"/>
      <c r="C286" s="85"/>
      <c r="D286" s="85"/>
      <c r="E286" s="85">
        <f t="shared" ref="E286:Q286" si="383">SUM(E279:E285)</f>
        <v>0</v>
      </c>
      <c r="F286" s="398">
        <f t="shared" si="383"/>
        <v>1.5</v>
      </c>
      <c r="G286" s="398">
        <f t="shared" si="383"/>
        <v>1.5</v>
      </c>
      <c r="H286" s="398">
        <f t="shared" si="383"/>
        <v>1.5</v>
      </c>
      <c r="I286" s="398">
        <f t="shared" si="383"/>
        <v>1.5</v>
      </c>
      <c r="J286" s="398">
        <f t="shared" si="383"/>
        <v>1.5</v>
      </c>
      <c r="K286" s="398">
        <f t="shared" si="383"/>
        <v>2</v>
      </c>
      <c r="L286" s="398">
        <f t="shared" si="383"/>
        <v>2</v>
      </c>
      <c r="M286" s="398">
        <f t="shared" si="383"/>
        <v>2</v>
      </c>
      <c r="N286" s="398">
        <f t="shared" si="383"/>
        <v>2</v>
      </c>
      <c r="O286" s="398">
        <f t="shared" si="383"/>
        <v>2</v>
      </c>
      <c r="P286" s="398">
        <f t="shared" si="383"/>
        <v>2</v>
      </c>
      <c r="Q286" s="398">
        <f t="shared" si="383"/>
        <v>2</v>
      </c>
      <c r="R286" s="104">
        <f>Q286</f>
        <v>2</v>
      </c>
      <c r="S286" s="103">
        <f t="shared" ref="S286:AD286" si="384">SUM(S279:S285)</f>
        <v>4</v>
      </c>
      <c r="T286" s="103">
        <f t="shared" si="384"/>
        <v>4</v>
      </c>
      <c r="U286" s="103">
        <f t="shared" si="384"/>
        <v>4</v>
      </c>
      <c r="V286" s="103">
        <f t="shared" si="384"/>
        <v>4</v>
      </c>
      <c r="W286" s="103">
        <f t="shared" si="384"/>
        <v>4</v>
      </c>
      <c r="X286" s="103">
        <f t="shared" si="384"/>
        <v>4</v>
      </c>
      <c r="Y286" s="103">
        <f t="shared" si="384"/>
        <v>4</v>
      </c>
      <c r="Z286" s="103">
        <f t="shared" si="384"/>
        <v>4</v>
      </c>
      <c r="AA286" s="103">
        <f t="shared" si="384"/>
        <v>4</v>
      </c>
      <c r="AB286" s="103">
        <f t="shared" si="384"/>
        <v>4</v>
      </c>
      <c r="AC286" s="103">
        <f t="shared" si="384"/>
        <v>4</v>
      </c>
      <c r="AD286" s="103">
        <f t="shared" si="384"/>
        <v>4</v>
      </c>
      <c r="AE286" s="104">
        <f>AD286</f>
        <v>4</v>
      </c>
      <c r="AF286" s="104">
        <f>SUM(AF279:AF285)</f>
        <v>4</v>
      </c>
      <c r="AG286" s="104">
        <f>SUM(AG279:AG285)</f>
        <v>5</v>
      </c>
      <c r="AH286" s="104">
        <f>SUM(AH279:AH285)</f>
        <v>5</v>
      </c>
      <c r="AI286" s="304" t="s">
        <v>321</v>
      </c>
    </row>
    <row r="287" spans="1:35">
      <c r="A287" s="96"/>
      <c r="B287" s="97"/>
      <c r="C287" s="98"/>
      <c r="D287" s="98"/>
      <c r="E287" s="98"/>
      <c r="F287" s="99"/>
      <c r="G287" s="99"/>
      <c r="H287" s="99"/>
      <c r="I287" s="99"/>
      <c r="J287" s="99"/>
      <c r="K287" s="99"/>
      <c r="L287" s="99"/>
      <c r="M287" s="99"/>
      <c r="N287" s="99"/>
      <c r="O287" s="99"/>
      <c r="P287" s="99"/>
      <c r="Q287" s="99"/>
      <c r="R287" s="100"/>
      <c r="S287" s="99"/>
      <c r="T287" s="99"/>
      <c r="U287" s="99"/>
      <c r="V287" s="99"/>
      <c r="W287" s="99"/>
      <c r="X287" s="99"/>
      <c r="Y287" s="99"/>
      <c r="Z287" s="99"/>
      <c r="AA287" s="99"/>
      <c r="AB287" s="99"/>
      <c r="AC287" s="99"/>
      <c r="AD287" s="99"/>
      <c r="AE287" s="100"/>
      <c r="AF287" s="100"/>
      <c r="AG287" s="100"/>
      <c r="AH287" s="100"/>
      <c r="AI287" s="304" t="s">
        <v>321</v>
      </c>
    </row>
    <row r="288" spans="1:35">
      <c r="A288" s="83" t="s">
        <v>243</v>
      </c>
      <c r="B288" s="102"/>
      <c r="C288" s="85"/>
      <c r="D288" s="85"/>
      <c r="E288" s="85">
        <f>E267+E276+E286</f>
        <v>0</v>
      </c>
      <c r="F288" s="414">
        <f t="shared" ref="F288:Q288" si="385">F267+F276+F286</f>
        <v>2</v>
      </c>
      <c r="G288" s="414">
        <f t="shared" si="385"/>
        <v>2</v>
      </c>
      <c r="H288" s="414">
        <f t="shared" si="385"/>
        <v>2</v>
      </c>
      <c r="I288" s="414">
        <f t="shared" si="385"/>
        <v>2</v>
      </c>
      <c r="J288" s="414">
        <f t="shared" si="385"/>
        <v>2</v>
      </c>
      <c r="K288" s="414">
        <f t="shared" si="385"/>
        <v>3.5</v>
      </c>
      <c r="L288" s="414">
        <f t="shared" si="385"/>
        <v>3.5</v>
      </c>
      <c r="M288" s="414">
        <f t="shared" si="385"/>
        <v>3.5</v>
      </c>
      <c r="N288" s="414">
        <f t="shared" si="385"/>
        <v>3.5</v>
      </c>
      <c r="O288" s="414">
        <f t="shared" si="385"/>
        <v>3.5</v>
      </c>
      <c r="P288" s="414">
        <f t="shared" si="385"/>
        <v>3.5</v>
      </c>
      <c r="Q288" s="414">
        <f t="shared" si="385"/>
        <v>3.5</v>
      </c>
      <c r="R288" s="104">
        <f>Q288</f>
        <v>3.5</v>
      </c>
      <c r="S288" s="103">
        <f>S267+S276+S286</f>
        <v>7</v>
      </c>
      <c r="T288" s="103">
        <f t="shared" ref="T288:AD288" si="386">T267+T276+T286</f>
        <v>8</v>
      </c>
      <c r="U288" s="103">
        <f t="shared" si="386"/>
        <v>9</v>
      </c>
      <c r="V288" s="103">
        <f t="shared" si="386"/>
        <v>9</v>
      </c>
      <c r="W288" s="103">
        <f t="shared" si="386"/>
        <v>9</v>
      </c>
      <c r="X288" s="103">
        <f t="shared" si="386"/>
        <v>9</v>
      </c>
      <c r="Y288" s="103">
        <f t="shared" si="386"/>
        <v>9</v>
      </c>
      <c r="Z288" s="103">
        <f t="shared" si="386"/>
        <v>9</v>
      </c>
      <c r="AA288" s="103">
        <f t="shared" si="386"/>
        <v>9</v>
      </c>
      <c r="AB288" s="103">
        <f t="shared" si="386"/>
        <v>9</v>
      </c>
      <c r="AC288" s="103">
        <f t="shared" si="386"/>
        <v>9</v>
      </c>
      <c r="AD288" s="103">
        <f t="shared" si="386"/>
        <v>9</v>
      </c>
      <c r="AE288" s="104">
        <f>AD288</f>
        <v>9</v>
      </c>
      <c r="AF288" s="104">
        <f>AF267+AF276+AF286</f>
        <v>12</v>
      </c>
      <c r="AG288" s="104">
        <f>AG267+AG276+AG286</f>
        <v>18</v>
      </c>
      <c r="AH288" s="104">
        <f>AH267+AH276+AH286</f>
        <v>20</v>
      </c>
      <c r="AI288" s="304" t="s">
        <v>321</v>
      </c>
    </row>
    <row r="289" spans="1:35" ht="8.25" thickBot="1">
      <c r="A289" s="96"/>
      <c r="B289" s="165" t="s">
        <v>244</v>
      </c>
      <c r="C289" s="98"/>
      <c r="D289" s="98"/>
      <c r="E289" s="98"/>
      <c r="F289" s="99"/>
      <c r="G289" s="99"/>
      <c r="H289" s="99"/>
      <c r="I289" s="99"/>
      <c r="J289" s="99"/>
      <c r="K289" s="99"/>
      <c r="L289" s="99"/>
      <c r="M289" s="99"/>
      <c r="N289" s="99"/>
      <c r="O289" s="99"/>
      <c r="P289" s="99"/>
      <c r="Q289" s="99"/>
      <c r="R289" s="100">
        <f>IF(R92&gt;0,+R92/R288,0)</f>
        <v>105750</v>
      </c>
      <c r="S289" s="99"/>
      <c r="T289" s="99"/>
      <c r="U289" s="99"/>
      <c r="V289" s="99"/>
      <c r="W289" s="99"/>
      <c r="X289" s="99"/>
      <c r="Y289" s="99"/>
      <c r="Z289" s="99"/>
      <c r="AA289" s="99"/>
      <c r="AB289" s="99"/>
      <c r="AC289" s="99"/>
      <c r="AD289" s="99"/>
      <c r="AE289" s="166">
        <f>IF(AE92&gt;0,+AE92/AE288,0)</f>
        <v>480885.41666666674</v>
      </c>
      <c r="AF289" s="167">
        <f>IF(AF92&gt;0,+AF92/AF288,0)</f>
        <v>882296.625</v>
      </c>
      <c r="AG289" s="167">
        <f>IF(AG92&gt;0,+AG92/AG288,0)</f>
        <v>852975.02500000002</v>
      </c>
      <c r="AH289" s="168">
        <f>IF(AH92&gt;0,+AH92/AH288,0)</f>
        <v>1019498.9175000001</v>
      </c>
      <c r="AI289" s="304" t="s">
        <v>321</v>
      </c>
    </row>
    <row r="290" spans="1:35" s="65" customFormat="1" ht="8.25" thickTop="1">
      <c r="A290" s="73" t="s">
        <v>245</v>
      </c>
      <c r="B290" s="69"/>
      <c r="C290" s="169"/>
      <c r="D290" s="169"/>
      <c r="E290" s="169"/>
      <c r="F290" s="105"/>
      <c r="G290" s="105"/>
      <c r="H290" s="105"/>
      <c r="I290" s="105"/>
      <c r="J290" s="105"/>
      <c r="K290" s="105"/>
      <c r="L290" s="105"/>
      <c r="M290" s="105"/>
      <c r="N290" s="105"/>
      <c r="O290" s="105"/>
      <c r="P290" s="105"/>
      <c r="Q290" s="105"/>
      <c r="R290" s="106"/>
      <c r="S290" s="105"/>
      <c r="T290" s="105"/>
      <c r="U290" s="105"/>
      <c r="V290" s="105"/>
      <c r="W290" s="105"/>
      <c r="X290" s="105"/>
      <c r="Y290" s="105"/>
      <c r="Z290" s="105"/>
      <c r="AA290" s="105"/>
      <c r="AB290" s="105"/>
      <c r="AC290" s="105"/>
      <c r="AD290" s="105"/>
      <c r="AE290" s="68"/>
      <c r="AF290" s="68"/>
      <c r="AG290" s="68"/>
      <c r="AH290" s="68"/>
      <c r="AI290" s="304" t="s">
        <v>321</v>
      </c>
    </row>
    <row r="291" spans="1:35" s="65" customFormat="1" ht="8.25" thickBot="1">
      <c r="A291" s="78" t="str">
        <f>$A$1</f>
        <v>PEP STRAW</v>
      </c>
      <c r="B291" s="79"/>
      <c r="C291" s="170"/>
      <c r="D291" s="170"/>
      <c r="E291" s="170"/>
      <c r="F291" s="107"/>
      <c r="G291" s="107"/>
      <c r="H291" s="107"/>
      <c r="I291" s="107"/>
      <c r="J291" s="107"/>
      <c r="K291" s="107"/>
      <c r="L291" s="107"/>
      <c r="M291" s="107"/>
      <c r="N291" s="107"/>
      <c r="O291" s="107"/>
      <c r="P291" s="107"/>
      <c r="Q291" s="107"/>
      <c r="R291" s="108"/>
      <c r="S291" s="107"/>
      <c r="T291" s="107"/>
      <c r="U291" s="107"/>
      <c r="V291" s="107"/>
      <c r="W291" s="107"/>
      <c r="X291" s="107"/>
      <c r="Y291" s="107"/>
      <c r="Z291" s="107"/>
      <c r="AA291" s="107"/>
      <c r="AB291" s="107"/>
      <c r="AC291" s="107"/>
      <c r="AD291" s="107"/>
      <c r="AE291" s="108"/>
      <c r="AF291" s="108"/>
      <c r="AG291" s="108"/>
      <c r="AH291" s="108"/>
      <c r="AI291" s="304" t="s">
        <v>321</v>
      </c>
    </row>
    <row r="292" spans="1:35" ht="8.25" thickTop="1">
      <c r="A292" s="83"/>
      <c r="B292" s="84">
        <f ca="1">NOW()</f>
        <v>44371.35163020833</v>
      </c>
      <c r="C292" s="86"/>
      <c r="D292" s="86"/>
      <c r="E292" s="86"/>
      <c r="F292" s="86" t="str">
        <f t="shared" ref="F292:Q292" si="387">F$8</f>
        <v>Month 1</v>
      </c>
      <c r="G292" s="86" t="str">
        <f t="shared" si="387"/>
        <v>Month 2</v>
      </c>
      <c r="H292" s="86" t="str">
        <f t="shared" si="387"/>
        <v>Month 3</v>
      </c>
      <c r="I292" s="86" t="str">
        <f t="shared" si="387"/>
        <v>Month 4</v>
      </c>
      <c r="J292" s="86" t="str">
        <f t="shared" si="387"/>
        <v>Month 5</v>
      </c>
      <c r="K292" s="86" t="str">
        <f t="shared" si="387"/>
        <v>Month 6</v>
      </c>
      <c r="L292" s="86" t="str">
        <f t="shared" si="387"/>
        <v>Month 7</v>
      </c>
      <c r="M292" s="86" t="str">
        <f t="shared" si="387"/>
        <v>Month 8</v>
      </c>
      <c r="N292" s="86" t="str">
        <f t="shared" si="387"/>
        <v>Month 9</v>
      </c>
      <c r="O292" s="86" t="str">
        <f t="shared" si="387"/>
        <v>Month 10</v>
      </c>
      <c r="P292" s="86" t="str">
        <f t="shared" si="387"/>
        <v>Month 11</v>
      </c>
      <c r="Q292" s="86" t="str">
        <f t="shared" si="387"/>
        <v>Month 12</v>
      </c>
      <c r="R292" s="87" t="s">
        <v>127</v>
      </c>
      <c r="S292" s="86" t="str">
        <f t="shared" ref="S292:AD292" si="388">S$8</f>
        <v>Month 13</v>
      </c>
      <c r="T292" s="86" t="str">
        <f t="shared" si="388"/>
        <v>Month 14</v>
      </c>
      <c r="U292" s="86" t="str">
        <f t="shared" si="388"/>
        <v>Month 15</v>
      </c>
      <c r="V292" s="86" t="str">
        <f t="shared" si="388"/>
        <v>Month 16</v>
      </c>
      <c r="W292" s="86" t="str">
        <f t="shared" si="388"/>
        <v>Month 17</v>
      </c>
      <c r="X292" s="86" t="str">
        <f t="shared" si="388"/>
        <v>Month 18</v>
      </c>
      <c r="Y292" s="86" t="str">
        <f t="shared" si="388"/>
        <v>Month 19</v>
      </c>
      <c r="Z292" s="86" t="str">
        <f t="shared" si="388"/>
        <v>Month 20</v>
      </c>
      <c r="AA292" s="86" t="str">
        <f t="shared" si="388"/>
        <v>Month 21</v>
      </c>
      <c r="AB292" s="86" t="str">
        <f t="shared" si="388"/>
        <v>Month 22</v>
      </c>
      <c r="AC292" s="86" t="str">
        <f t="shared" si="388"/>
        <v>Month 23</v>
      </c>
      <c r="AD292" s="86" t="str">
        <f t="shared" si="388"/>
        <v>Month 24</v>
      </c>
      <c r="AE292" s="87" t="s">
        <v>127</v>
      </c>
      <c r="AF292" s="87" t="str">
        <f>AF$8</f>
        <v>Total</v>
      </c>
      <c r="AG292" s="87" t="str">
        <f>AG$8</f>
        <v>Total</v>
      </c>
      <c r="AH292" s="87" t="str">
        <f>AH$8</f>
        <v>Total</v>
      </c>
      <c r="AI292" s="304" t="s">
        <v>321</v>
      </c>
    </row>
    <row r="293" spans="1:35">
      <c r="A293" s="89"/>
      <c r="B293" s="90">
        <f ca="1">NOW()</f>
        <v>44371.35163020833</v>
      </c>
      <c r="C293" s="91"/>
      <c r="D293" s="91"/>
      <c r="E293" s="91"/>
      <c r="F293" s="92">
        <f t="shared" ref="F293:AH293" si="389">F$1</f>
        <v>43466</v>
      </c>
      <c r="G293" s="92">
        <f t="shared" si="389"/>
        <v>43497</v>
      </c>
      <c r="H293" s="92">
        <f t="shared" si="389"/>
        <v>43528</v>
      </c>
      <c r="I293" s="92">
        <f t="shared" si="389"/>
        <v>43559</v>
      </c>
      <c r="J293" s="92">
        <f t="shared" si="389"/>
        <v>43590</v>
      </c>
      <c r="K293" s="92">
        <f t="shared" si="389"/>
        <v>43621</v>
      </c>
      <c r="L293" s="92">
        <f t="shared" si="389"/>
        <v>43652</v>
      </c>
      <c r="M293" s="92">
        <f t="shared" si="389"/>
        <v>43683</v>
      </c>
      <c r="N293" s="92">
        <f t="shared" si="389"/>
        <v>43714</v>
      </c>
      <c r="O293" s="92">
        <f t="shared" si="389"/>
        <v>43745</v>
      </c>
      <c r="P293" s="92">
        <f t="shared" si="389"/>
        <v>43776</v>
      </c>
      <c r="Q293" s="92">
        <f t="shared" si="389"/>
        <v>43807</v>
      </c>
      <c r="R293" s="93">
        <f t="shared" si="389"/>
        <v>43807</v>
      </c>
      <c r="S293" s="92">
        <f t="shared" si="389"/>
        <v>43838</v>
      </c>
      <c r="T293" s="92">
        <f t="shared" si="389"/>
        <v>43869</v>
      </c>
      <c r="U293" s="92">
        <f t="shared" si="389"/>
        <v>43900</v>
      </c>
      <c r="V293" s="92">
        <f t="shared" si="389"/>
        <v>43931</v>
      </c>
      <c r="W293" s="92">
        <f t="shared" si="389"/>
        <v>43962</v>
      </c>
      <c r="X293" s="92">
        <f t="shared" si="389"/>
        <v>43993</v>
      </c>
      <c r="Y293" s="92">
        <f t="shared" si="389"/>
        <v>44024</v>
      </c>
      <c r="Z293" s="92">
        <f t="shared" si="389"/>
        <v>44055</v>
      </c>
      <c r="AA293" s="92">
        <f t="shared" si="389"/>
        <v>44086</v>
      </c>
      <c r="AB293" s="92">
        <f t="shared" si="389"/>
        <v>44117</v>
      </c>
      <c r="AC293" s="92">
        <f t="shared" si="389"/>
        <v>44148</v>
      </c>
      <c r="AD293" s="92">
        <f t="shared" si="389"/>
        <v>44179</v>
      </c>
      <c r="AE293" s="93">
        <f t="shared" si="389"/>
        <v>44179</v>
      </c>
      <c r="AF293" s="93">
        <f t="shared" si="389"/>
        <v>44544</v>
      </c>
      <c r="AG293" s="93">
        <f t="shared" si="389"/>
        <v>44909</v>
      </c>
      <c r="AH293" s="93">
        <f t="shared" si="389"/>
        <v>45274</v>
      </c>
      <c r="AI293" s="304" t="s">
        <v>321</v>
      </c>
    </row>
    <row r="294" spans="1:35">
      <c r="A294" s="89"/>
      <c r="B294" s="90"/>
      <c r="C294" s="171"/>
      <c r="D294" s="171"/>
      <c r="E294" s="171"/>
      <c r="F294" s="92"/>
      <c r="G294" s="92"/>
      <c r="H294" s="92"/>
      <c r="I294" s="92"/>
      <c r="J294" s="92"/>
      <c r="K294" s="92"/>
      <c r="L294" s="92"/>
      <c r="M294" s="92"/>
      <c r="N294" s="92"/>
      <c r="O294" s="92"/>
      <c r="P294" s="92"/>
      <c r="Q294" s="92"/>
      <c r="R294" s="93"/>
      <c r="S294" s="92"/>
      <c r="T294" s="92"/>
      <c r="U294" s="92"/>
      <c r="V294" s="92"/>
      <c r="W294" s="92"/>
      <c r="X294" s="92"/>
      <c r="Y294" s="92"/>
      <c r="Z294" s="92"/>
      <c r="AA294" s="92"/>
      <c r="AB294" s="92"/>
      <c r="AC294" s="92"/>
      <c r="AD294" s="92"/>
      <c r="AE294" s="93"/>
      <c r="AF294" s="93"/>
      <c r="AG294" s="93"/>
      <c r="AH294" s="93"/>
      <c r="AI294" s="304" t="s">
        <v>321</v>
      </c>
    </row>
    <row r="295" spans="1:35">
      <c r="A295" s="96" t="str">
        <f>UPPER($A$259)</f>
        <v>ENGINEERING</v>
      </c>
      <c r="B295" s="97"/>
      <c r="C295" s="172"/>
      <c r="D295" s="172"/>
      <c r="E295" s="172" t="s">
        <v>246</v>
      </c>
      <c r="F295" s="99"/>
      <c r="G295" s="99"/>
      <c r="H295" s="99"/>
      <c r="I295" s="99"/>
      <c r="J295" s="99"/>
      <c r="K295" s="99"/>
      <c r="L295" s="99"/>
      <c r="M295" s="99"/>
      <c r="N295" s="99"/>
      <c r="O295" s="99"/>
      <c r="P295" s="99"/>
      <c r="Q295" s="99"/>
      <c r="R295" s="100"/>
      <c r="S295" s="99"/>
      <c r="T295" s="99"/>
      <c r="U295" s="99"/>
      <c r="V295" s="99"/>
      <c r="W295" s="99"/>
      <c r="X295" s="99"/>
      <c r="Y295" s="99"/>
      <c r="Z295" s="99"/>
      <c r="AA295" s="99"/>
      <c r="AB295" s="99"/>
      <c r="AC295" s="99"/>
      <c r="AD295" s="99"/>
      <c r="AE295" s="100"/>
      <c r="AF295" s="100"/>
      <c r="AG295" s="100"/>
      <c r="AH295" s="100"/>
      <c r="AI295" s="304" t="s">
        <v>321</v>
      </c>
    </row>
    <row r="296" spans="1:35">
      <c r="A296" s="96"/>
      <c r="B296" s="141" t="str">
        <f>B260</f>
        <v>R&amp;D Director 0%</v>
      </c>
      <c r="C296" s="172"/>
      <c r="D296" s="172"/>
      <c r="E296" s="173">
        <v>0</v>
      </c>
      <c r="F296" s="99">
        <f t="shared" ref="F296:Q296" si="390">F260*$E296/12*F$327</f>
        <v>0</v>
      </c>
      <c r="G296" s="99">
        <f t="shared" si="390"/>
        <v>0</v>
      </c>
      <c r="H296" s="99">
        <f t="shared" si="390"/>
        <v>0</v>
      </c>
      <c r="I296" s="99">
        <f t="shared" si="390"/>
        <v>0</v>
      </c>
      <c r="J296" s="99">
        <f t="shared" si="390"/>
        <v>0</v>
      </c>
      <c r="K296" s="99">
        <f t="shared" si="390"/>
        <v>0</v>
      </c>
      <c r="L296" s="99">
        <f t="shared" si="390"/>
        <v>0</v>
      </c>
      <c r="M296" s="99">
        <f t="shared" si="390"/>
        <v>0</v>
      </c>
      <c r="N296" s="99">
        <f t="shared" si="390"/>
        <v>0</v>
      </c>
      <c r="O296" s="99">
        <f t="shared" si="390"/>
        <v>0</v>
      </c>
      <c r="P296" s="99">
        <f t="shared" si="390"/>
        <v>0</v>
      </c>
      <c r="Q296" s="99">
        <f t="shared" si="390"/>
        <v>0</v>
      </c>
      <c r="R296" s="100">
        <f t="shared" ref="R296:R302" si="391">SUM(F296:Q296)</f>
        <v>0</v>
      </c>
      <c r="S296" s="99">
        <f t="shared" ref="S296:AD296" si="392">S260*$E296/12*S$327</f>
        <v>0</v>
      </c>
      <c r="T296" s="99">
        <f t="shared" si="392"/>
        <v>0</v>
      </c>
      <c r="U296" s="99">
        <f t="shared" si="392"/>
        <v>0</v>
      </c>
      <c r="V296" s="99">
        <f t="shared" si="392"/>
        <v>0</v>
      </c>
      <c r="W296" s="99">
        <f t="shared" si="392"/>
        <v>0</v>
      </c>
      <c r="X296" s="99">
        <f t="shared" si="392"/>
        <v>0</v>
      </c>
      <c r="Y296" s="99">
        <f t="shared" si="392"/>
        <v>0</v>
      </c>
      <c r="Z296" s="99">
        <f t="shared" si="392"/>
        <v>0</v>
      </c>
      <c r="AA296" s="99">
        <f t="shared" si="392"/>
        <v>0</v>
      </c>
      <c r="AB296" s="99">
        <f t="shared" si="392"/>
        <v>0</v>
      </c>
      <c r="AC296" s="99">
        <f t="shared" si="392"/>
        <v>0</v>
      </c>
      <c r="AD296" s="99">
        <f t="shared" si="392"/>
        <v>0</v>
      </c>
      <c r="AE296" s="100">
        <f t="shared" ref="AE296:AE302" si="393">SUM(S296:AD296)</f>
        <v>0</v>
      </c>
      <c r="AF296" s="100">
        <f t="shared" ref="AF296:AH302" si="394">AF260*$E296*AF$327</f>
        <v>0</v>
      </c>
      <c r="AG296" s="100">
        <f t="shared" si="394"/>
        <v>0</v>
      </c>
      <c r="AH296" s="100">
        <f t="shared" si="394"/>
        <v>0</v>
      </c>
      <c r="AI296" s="304" t="s">
        <v>321</v>
      </c>
    </row>
    <row r="297" spans="1:35">
      <c r="A297" s="96"/>
      <c r="B297" s="141" t="str">
        <f t="shared" ref="B297:B302" si="395">B261</f>
        <v>R&amp;D Director 100%</v>
      </c>
      <c r="C297" s="172"/>
      <c r="D297" s="172"/>
      <c r="E297" s="173">
        <v>60000</v>
      </c>
      <c r="F297" s="99">
        <f t="shared" ref="F297:Q297" si="396">F261*$E297/12*F$327</f>
        <v>0</v>
      </c>
      <c r="G297" s="99">
        <f t="shared" si="396"/>
        <v>0</v>
      </c>
      <c r="H297" s="99">
        <f t="shared" si="396"/>
        <v>0</v>
      </c>
      <c r="I297" s="99">
        <f t="shared" si="396"/>
        <v>0</v>
      </c>
      <c r="J297" s="99">
        <f t="shared" si="396"/>
        <v>0</v>
      </c>
      <c r="K297" s="99">
        <f t="shared" si="396"/>
        <v>2500</v>
      </c>
      <c r="L297" s="99">
        <f t="shared" si="396"/>
        <v>2500</v>
      </c>
      <c r="M297" s="99">
        <f t="shared" si="396"/>
        <v>2500</v>
      </c>
      <c r="N297" s="99">
        <f t="shared" si="396"/>
        <v>2500</v>
      </c>
      <c r="O297" s="99">
        <f t="shared" si="396"/>
        <v>2500</v>
      </c>
      <c r="P297" s="99">
        <f t="shared" si="396"/>
        <v>2500</v>
      </c>
      <c r="Q297" s="99">
        <f t="shared" si="396"/>
        <v>2500</v>
      </c>
      <c r="R297" s="100">
        <f t="shared" si="391"/>
        <v>17500</v>
      </c>
      <c r="S297" s="99">
        <f t="shared" ref="S297:AD297" si="397">S261*$E297/12*S$327</f>
        <v>5200</v>
      </c>
      <c r="T297" s="99">
        <f t="shared" si="397"/>
        <v>5200</v>
      </c>
      <c r="U297" s="99">
        <f t="shared" si="397"/>
        <v>5200</v>
      </c>
      <c r="V297" s="99">
        <f t="shared" si="397"/>
        <v>5200</v>
      </c>
      <c r="W297" s="99">
        <f t="shared" si="397"/>
        <v>5200</v>
      </c>
      <c r="X297" s="99">
        <f t="shared" si="397"/>
        <v>5200</v>
      </c>
      <c r="Y297" s="99">
        <f t="shared" si="397"/>
        <v>5200</v>
      </c>
      <c r="Z297" s="99">
        <f t="shared" si="397"/>
        <v>5200</v>
      </c>
      <c r="AA297" s="99">
        <f t="shared" si="397"/>
        <v>5200</v>
      </c>
      <c r="AB297" s="99">
        <f t="shared" si="397"/>
        <v>5200</v>
      </c>
      <c r="AC297" s="99">
        <f t="shared" si="397"/>
        <v>5200</v>
      </c>
      <c r="AD297" s="99">
        <f t="shared" si="397"/>
        <v>5200</v>
      </c>
      <c r="AE297" s="100">
        <f t="shared" si="393"/>
        <v>62400</v>
      </c>
      <c r="AF297" s="100">
        <f t="shared" si="394"/>
        <v>64896.000000000007</v>
      </c>
      <c r="AG297" s="100">
        <f t="shared" si="394"/>
        <v>67491.840000000011</v>
      </c>
      <c r="AH297" s="100">
        <f t="shared" si="394"/>
        <v>70191.513600000006</v>
      </c>
      <c r="AI297" s="304" t="s">
        <v>321</v>
      </c>
    </row>
    <row r="298" spans="1:35">
      <c r="A298" s="96"/>
      <c r="B298" s="141" t="str">
        <f t="shared" si="395"/>
        <v>Senior Engineer</v>
      </c>
      <c r="C298" s="172"/>
      <c r="D298" s="172"/>
      <c r="E298" s="173">
        <v>60000</v>
      </c>
      <c r="F298" s="99">
        <f t="shared" ref="F298:Q298" si="398">F262*$E298/12*F$327</f>
        <v>0</v>
      </c>
      <c r="G298" s="99">
        <f t="shared" si="398"/>
        <v>0</v>
      </c>
      <c r="H298" s="99">
        <f t="shared" si="398"/>
        <v>0</v>
      </c>
      <c r="I298" s="99">
        <f t="shared" si="398"/>
        <v>0</v>
      </c>
      <c r="J298" s="99">
        <f t="shared" si="398"/>
        <v>0</v>
      </c>
      <c r="K298" s="99">
        <f t="shared" si="398"/>
        <v>0</v>
      </c>
      <c r="L298" s="99">
        <f t="shared" si="398"/>
        <v>0</v>
      </c>
      <c r="M298" s="99">
        <f t="shared" si="398"/>
        <v>0</v>
      </c>
      <c r="N298" s="99">
        <f t="shared" si="398"/>
        <v>0</v>
      </c>
      <c r="O298" s="99">
        <f t="shared" si="398"/>
        <v>0</v>
      </c>
      <c r="P298" s="99">
        <f t="shared" si="398"/>
        <v>0</v>
      </c>
      <c r="Q298" s="99">
        <f t="shared" si="398"/>
        <v>0</v>
      </c>
      <c r="R298" s="100">
        <f t="shared" si="391"/>
        <v>0</v>
      </c>
      <c r="S298" s="99">
        <f t="shared" ref="S298:AD298" si="399">S262*$E298/12*S$327</f>
        <v>0</v>
      </c>
      <c r="T298" s="99">
        <f t="shared" si="399"/>
        <v>0</v>
      </c>
      <c r="U298" s="99">
        <f t="shared" si="399"/>
        <v>0</v>
      </c>
      <c r="V298" s="99">
        <f t="shared" si="399"/>
        <v>0</v>
      </c>
      <c r="W298" s="99">
        <f t="shared" si="399"/>
        <v>0</v>
      </c>
      <c r="X298" s="99">
        <f t="shared" si="399"/>
        <v>0</v>
      </c>
      <c r="Y298" s="99">
        <f t="shared" si="399"/>
        <v>0</v>
      </c>
      <c r="Z298" s="99">
        <f t="shared" si="399"/>
        <v>0</v>
      </c>
      <c r="AA298" s="99">
        <f t="shared" si="399"/>
        <v>0</v>
      </c>
      <c r="AB298" s="99">
        <f t="shared" si="399"/>
        <v>0</v>
      </c>
      <c r="AC298" s="99">
        <f t="shared" si="399"/>
        <v>0</v>
      </c>
      <c r="AD298" s="99">
        <f t="shared" si="399"/>
        <v>0</v>
      </c>
      <c r="AE298" s="100">
        <f t="shared" si="393"/>
        <v>0</v>
      </c>
      <c r="AF298" s="100">
        <f t="shared" si="394"/>
        <v>64896.000000000007</v>
      </c>
      <c r="AG298" s="100">
        <f t="shared" si="394"/>
        <v>202475.52000000002</v>
      </c>
      <c r="AH298" s="100">
        <f t="shared" si="394"/>
        <v>210574.54080000005</v>
      </c>
      <c r="AI298" s="304" t="s">
        <v>321</v>
      </c>
    </row>
    <row r="299" spans="1:35">
      <c r="A299" s="96"/>
      <c r="B299" s="141">
        <f t="shared" si="395"/>
        <v>0</v>
      </c>
      <c r="C299" s="172"/>
      <c r="D299" s="172"/>
      <c r="E299" s="173"/>
      <c r="F299" s="99">
        <f t="shared" ref="F299:Q299" si="400">F263*$E299/12*F$327</f>
        <v>0</v>
      </c>
      <c r="G299" s="99">
        <f t="shared" si="400"/>
        <v>0</v>
      </c>
      <c r="H299" s="99">
        <f t="shared" si="400"/>
        <v>0</v>
      </c>
      <c r="I299" s="99">
        <f t="shared" si="400"/>
        <v>0</v>
      </c>
      <c r="J299" s="99">
        <f t="shared" si="400"/>
        <v>0</v>
      </c>
      <c r="K299" s="99">
        <f t="shared" si="400"/>
        <v>0</v>
      </c>
      <c r="L299" s="99">
        <f t="shared" si="400"/>
        <v>0</v>
      </c>
      <c r="M299" s="99">
        <f t="shared" si="400"/>
        <v>0</v>
      </c>
      <c r="N299" s="99">
        <f t="shared" si="400"/>
        <v>0</v>
      </c>
      <c r="O299" s="99">
        <f t="shared" si="400"/>
        <v>0</v>
      </c>
      <c r="P299" s="99">
        <f t="shared" si="400"/>
        <v>0</v>
      </c>
      <c r="Q299" s="99">
        <f t="shared" si="400"/>
        <v>0</v>
      </c>
      <c r="R299" s="100">
        <f t="shared" si="391"/>
        <v>0</v>
      </c>
      <c r="S299" s="99">
        <f t="shared" ref="S299:AD299" si="401">S263*$E299/12*S$327</f>
        <v>0</v>
      </c>
      <c r="T299" s="99">
        <f t="shared" si="401"/>
        <v>0</v>
      </c>
      <c r="U299" s="99">
        <f t="shared" si="401"/>
        <v>0</v>
      </c>
      <c r="V299" s="99">
        <f t="shared" si="401"/>
        <v>0</v>
      </c>
      <c r="W299" s="99">
        <f t="shared" si="401"/>
        <v>0</v>
      </c>
      <c r="X299" s="99">
        <f t="shared" si="401"/>
        <v>0</v>
      </c>
      <c r="Y299" s="99">
        <f t="shared" si="401"/>
        <v>0</v>
      </c>
      <c r="Z299" s="99">
        <f t="shared" si="401"/>
        <v>0</v>
      </c>
      <c r="AA299" s="99">
        <f t="shared" si="401"/>
        <v>0</v>
      </c>
      <c r="AB299" s="99">
        <f t="shared" si="401"/>
        <v>0</v>
      </c>
      <c r="AC299" s="99">
        <f t="shared" si="401"/>
        <v>0</v>
      </c>
      <c r="AD299" s="99">
        <f t="shared" si="401"/>
        <v>0</v>
      </c>
      <c r="AE299" s="100">
        <f t="shared" si="393"/>
        <v>0</v>
      </c>
      <c r="AF299" s="100">
        <f t="shared" si="394"/>
        <v>0</v>
      </c>
      <c r="AG299" s="100">
        <f t="shared" si="394"/>
        <v>0</v>
      </c>
      <c r="AH299" s="100">
        <f>AH263*$E299*AH$327</f>
        <v>0</v>
      </c>
      <c r="AI299" s="304" t="s">
        <v>321</v>
      </c>
    </row>
    <row r="300" spans="1:35">
      <c r="A300" s="96"/>
      <c r="B300" s="141">
        <f t="shared" si="395"/>
        <v>0</v>
      </c>
      <c r="C300" s="172"/>
      <c r="D300" s="172"/>
      <c r="E300" s="173"/>
      <c r="F300" s="99">
        <f t="shared" ref="F300:Q300" si="402">F264*$E300/12*F$327</f>
        <v>0</v>
      </c>
      <c r="G300" s="99">
        <f t="shared" si="402"/>
        <v>0</v>
      </c>
      <c r="H300" s="99">
        <f t="shared" si="402"/>
        <v>0</v>
      </c>
      <c r="I300" s="99">
        <f t="shared" si="402"/>
        <v>0</v>
      </c>
      <c r="J300" s="99">
        <f t="shared" si="402"/>
        <v>0</v>
      </c>
      <c r="K300" s="99">
        <f t="shared" si="402"/>
        <v>0</v>
      </c>
      <c r="L300" s="99">
        <f t="shared" si="402"/>
        <v>0</v>
      </c>
      <c r="M300" s="99">
        <f t="shared" si="402"/>
        <v>0</v>
      </c>
      <c r="N300" s="99">
        <f t="shared" si="402"/>
        <v>0</v>
      </c>
      <c r="O300" s="99">
        <f t="shared" si="402"/>
        <v>0</v>
      </c>
      <c r="P300" s="99">
        <f t="shared" si="402"/>
        <v>0</v>
      </c>
      <c r="Q300" s="99">
        <f t="shared" si="402"/>
        <v>0</v>
      </c>
      <c r="R300" s="100">
        <f t="shared" si="391"/>
        <v>0</v>
      </c>
      <c r="S300" s="99">
        <f t="shared" ref="S300:AD300" si="403">S264*$E300/12*S$327</f>
        <v>0</v>
      </c>
      <c r="T300" s="99">
        <f t="shared" si="403"/>
        <v>0</v>
      </c>
      <c r="U300" s="99">
        <f t="shared" si="403"/>
        <v>0</v>
      </c>
      <c r="V300" s="99">
        <f t="shared" si="403"/>
        <v>0</v>
      </c>
      <c r="W300" s="99">
        <f t="shared" si="403"/>
        <v>0</v>
      </c>
      <c r="X300" s="99">
        <f t="shared" si="403"/>
        <v>0</v>
      </c>
      <c r="Y300" s="99">
        <f t="shared" si="403"/>
        <v>0</v>
      </c>
      <c r="Z300" s="99">
        <f t="shared" si="403"/>
        <v>0</v>
      </c>
      <c r="AA300" s="99">
        <f t="shared" si="403"/>
        <v>0</v>
      </c>
      <c r="AB300" s="99">
        <f t="shared" si="403"/>
        <v>0</v>
      </c>
      <c r="AC300" s="99">
        <f t="shared" si="403"/>
        <v>0</v>
      </c>
      <c r="AD300" s="99">
        <f t="shared" si="403"/>
        <v>0</v>
      </c>
      <c r="AE300" s="100">
        <f t="shared" si="393"/>
        <v>0</v>
      </c>
      <c r="AF300" s="100">
        <f t="shared" si="394"/>
        <v>0</v>
      </c>
      <c r="AG300" s="100">
        <f t="shared" si="394"/>
        <v>0</v>
      </c>
      <c r="AH300" s="100">
        <f t="shared" si="394"/>
        <v>0</v>
      </c>
      <c r="AI300" s="304" t="s">
        <v>321</v>
      </c>
    </row>
    <row r="301" spans="1:35">
      <c r="A301" s="96"/>
      <c r="B301" s="141">
        <f t="shared" si="395"/>
        <v>0</v>
      </c>
      <c r="C301" s="172"/>
      <c r="D301" s="172"/>
      <c r="E301" s="173"/>
      <c r="F301" s="99">
        <f t="shared" ref="F301:Q301" si="404">F265*$E301/12*F$327</f>
        <v>0</v>
      </c>
      <c r="G301" s="99">
        <f t="shared" si="404"/>
        <v>0</v>
      </c>
      <c r="H301" s="99">
        <f t="shared" si="404"/>
        <v>0</v>
      </c>
      <c r="I301" s="99">
        <f t="shared" si="404"/>
        <v>0</v>
      </c>
      <c r="J301" s="99">
        <f t="shared" si="404"/>
        <v>0</v>
      </c>
      <c r="K301" s="99">
        <f t="shared" si="404"/>
        <v>0</v>
      </c>
      <c r="L301" s="99">
        <f t="shared" si="404"/>
        <v>0</v>
      </c>
      <c r="M301" s="99">
        <f t="shared" si="404"/>
        <v>0</v>
      </c>
      <c r="N301" s="99">
        <f t="shared" si="404"/>
        <v>0</v>
      </c>
      <c r="O301" s="99">
        <f t="shared" si="404"/>
        <v>0</v>
      </c>
      <c r="P301" s="99">
        <f t="shared" si="404"/>
        <v>0</v>
      </c>
      <c r="Q301" s="99">
        <f t="shared" si="404"/>
        <v>0</v>
      </c>
      <c r="R301" s="100">
        <f t="shared" si="391"/>
        <v>0</v>
      </c>
      <c r="S301" s="99">
        <f t="shared" ref="S301:AD301" si="405">S265*$E301/12*S$327</f>
        <v>0</v>
      </c>
      <c r="T301" s="99">
        <f t="shared" si="405"/>
        <v>0</v>
      </c>
      <c r="U301" s="99">
        <f t="shared" si="405"/>
        <v>0</v>
      </c>
      <c r="V301" s="99">
        <f t="shared" si="405"/>
        <v>0</v>
      </c>
      <c r="W301" s="99">
        <f t="shared" si="405"/>
        <v>0</v>
      </c>
      <c r="X301" s="99">
        <f t="shared" si="405"/>
        <v>0</v>
      </c>
      <c r="Y301" s="99">
        <f t="shared" si="405"/>
        <v>0</v>
      </c>
      <c r="Z301" s="99">
        <f t="shared" si="405"/>
        <v>0</v>
      </c>
      <c r="AA301" s="99">
        <f t="shared" si="405"/>
        <v>0</v>
      </c>
      <c r="AB301" s="99">
        <f t="shared" si="405"/>
        <v>0</v>
      </c>
      <c r="AC301" s="99">
        <f t="shared" si="405"/>
        <v>0</v>
      </c>
      <c r="AD301" s="99">
        <f t="shared" si="405"/>
        <v>0</v>
      </c>
      <c r="AE301" s="100">
        <f t="shared" si="393"/>
        <v>0</v>
      </c>
      <c r="AF301" s="100">
        <f t="shared" si="394"/>
        <v>0</v>
      </c>
      <c r="AG301" s="100">
        <f t="shared" si="394"/>
        <v>0</v>
      </c>
      <c r="AH301" s="100">
        <f t="shared" si="394"/>
        <v>0</v>
      </c>
      <c r="AI301" s="304" t="s">
        <v>321</v>
      </c>
    </row>
    <row r="302" spans="1:35">
      <c r="A302" s="96"/>
      <c r="B302" s="141">
        <f t="shared" si="395"/>
        <v>0</v>
      </c>
      <c r="C302" s="172"/>
      <c r="D302" s="172"/>
      <c r="E302" s="173"/>
      <c r="F302" s="99">
        <f t="shared" ref="F302:Q302" si="406">F266*$E302/12*F$327</f>
        <v>0</v>
      </c>
      <c r="G302" s="99">
        <f t="shared" si="406"/>
        <v>0</v>
      </c>
      <c r="H302" s="99">
        <f t="shared" si="406"/>
        <v>0</v>
      </c>
      <c r="I302" s="99">
        <f t="shared" si="406"/>
        <v>0</v>
      </c>
      <c r="J302" s="99">
        <f t="shared" si="406"/>
        <v>0</v>
      </c>
      <c r="K302" s="99">
        <f t="shared" si="406"/>
        <v>0</v>
      </c>
      <c r="L302" s="99">
        <f t="shared" si="406"/>
        <v>0</v>
      </c>
      <c r="M302" s="99">
        <f t="shared" si="406"/>
        <v>0</v>
      </c>
      <c r="N302" s="99">
        <f t="shared" si="406"/>
        <v>0</v>
      </c>
      <c r="O302" s="99">
        <f t="shared" si="406"/>
        <v>0</v>
      </c>
      <c r="P302" s="99">
        <f t="shared" si="406"/>
        <v>0</v>
      </c>
      <c r="Q302" s="99">
        <f t="shared" si="406"/>
        <v>0</v>
      </c>
      <c r="R302" s="100">
        <f t="shared" si="391"/>
        <v>0</v>
      </c>
      <c r="S302" s="99">
        <f t="shared" ref="S302:AD302" si="407">S266*$E302/12*S$327</f>
        <v>0</v>
      </c>
      <c r="T302" s="99">
        <f t="shared" si="407"/>
        <v>0</v>
      </c>
      <c r="U302" s="99">
        <f t="shared" si="407"/>
        <v>0</v>
      </c>
      <c r="V302" s="99">
        <f t="shared" si="407"/>
        <v>0</v>
      </c>
      <c r="W302" s="99">
        <f t="shared" si="407"/>
        <v>0</v>
      </c>
      <c r="X302" s="99">
        <f t="shared" si="407"/>
        <v>0</v>
      </c>
      <c r="Y302" s="99">
        <f t="shared" si="407"/>
        <v>0</v>
      </c>
      <c r="Z302" s="99">
        <f t="shared" si="407"/>
        <v>0</v>
      </c>
      <c r="AA302" s="99">
        <f t="shared" si="407"/>
        <v>0</v>
      </c>
      <c r="AB302" s="99">
        <f t="shared" si="407"/>
        <v>0</v>
      </c>
      <c r="AC302" s="99">
        <f t="shared" si="407"/>
        <v>0</v>
      </c>
      <c r="AD302" s="99">
        <f t="shared" si="407"/>
        <v>0</v>
      </c>
      <c r="AE302" s="100">
        <f t="shared" si="393"/>
        <v>0</v>
      </c>
      <c r="AF302" s="100">
        <f t="shared" si="394"/>
        <v>0</v>
      </c>
      <c r="AG302" s="100">
        <f t="shared" si="394"/>
        <v>0</v>
      </c>
      <c r="AH302" s="100">
        <f t="shared" si="394"/>
        <v>0</v>
      </c>
      <c r="AI302" s="304" t="s">
        <v>321</v>
      </c>
    </row>
    <row r="303" spans="1:35">
      <c r="A303" s="96" t="s">
        <v>247</v>
      </c>
      <c r="B303" s="102"/>
      <c r="C303" s="174"/>
      <c r="D303" s="174"/>
      <c r="E303" s="174"/>
      <c r="F303" s="110">
        <f>SUM(F296:F302)</f>
        <v>0</v>
      </c>
      <c r="G303" s="110">
        <f>SUM(G296:G302)</f>
        <v>0</v>
      </c>
      <c r="H303" s="110">
        <f>SUM(H296:H302)</f>
        <v>0</v>
      </c>
      <c r="I303" s="110">
        <f>SUM(I296:I302)</f>
        <v>0</v>
      </c>
      <c r="J303" s="110">
        <f>SUM(J296:J302)</f>
        <v>0</v>
      </c>
      <c r="K303" s="103">
        <f t="shared" ref="K303:Q303" si="408">SUM(K296:K302)</f>
        <v>2500</v>
      </c>
      <c r="L303" s="103">
        <f t="shared" si="408"/>
        <v>2500</v>
      </c>
      <c r="M303" s="103">
        <f t="shared" si="408"/>
        <v>2500</v>
      </c>
      <c r="N303" s="103">
        <f t="shared" si="408"/>
        <v>2500</v>
      </c>
      <c r="O303" s="103">
        <f t="shared" si="408"/>
        <v>2500</v>
      </c>
      <c r="P303" s="103">
        <f t="shared" si="408"/>
        <v>2500</v>
      </c>
      <c r="Q303" s="103">
        <f t="shared" si="408"/>
        <v>2500</v>
      </c>
      <c r="R303" s="104">
        <f>SUM(F303:Q303)</f>
        <v>17500</v>
      </c>
      <c r="S303" s="103">
        <f t="shared" ref="S303:AD303" si="409">SUM(S296:S302)</f>
        <v>5200</v>
      </c>
      <c r="T303" s="103">
        <f t="shared" si="409"/>
        <v>5200</v>
      </c>
      <c r="U303" s="103">
        <f t="shared" si="409"/>
        <v>5200</v>
      </c>
      <c r="V303" s="103">
        <f t="shared" si="409"/>
        <v>5200</v>
      </c>
      <c r="W303" s="103">
        <f t="shared" si="409"/>
        <v>5200</v>
      </c>
      <c r="X303" s="103">
        <f t="shared" si="409"/>
        <v>5200</v>
      </c>
      <c r="Y303" s="103">
        <f t="shared" si="409"/>
        <v>5200</v>
      </c>
      <c r="Z303" s="103">
        <f t="shared" si="409"/>
        <v>5200</v>
      </c>
      <c r="AA303" s="103">
        <f t="shared" si="409"/>
        <v>5200</v>
      </c>
      <c r="AB303" s="103">
        <f t="shared" si="409"/>
        <v>5200</v>
      </c>
      <c r="AC303" s="103">
        <f t="shared" si="409"/>
        <v>5200</v>
      </c>
      <c r="AD303" s="103">
        <f t="shared" si="409"/>
        <v>5200</v>
      </c>
      <c r="AE303" s="104">
        <f>SUM(S303:AD303)</f>
        <v>62400</v>
      </c>
      <c r="AF303" s="104">
        <f>SUM(AF296:AF302)</f>
        <v>129792.00000000001</v>
      </c>
      <c r="AG303" s="104">
        <f>SUM(AG296:AG302)</f>
        <v>269967.36000000004</v>
      </c>
      <c r="AH303" s="104">
        <f>SUM(AH296:AH302)</f>
        <v>280766.05440000002</v>
      </c>
      <c r="AI303" s="304" t="s">
        <v>321</v>
      </c>
    </row>
    <row r="304" spans="1:35">
      <c r="A304" s="96"/>
      <c r="B304" s="97"/>
      <c r="C304" s="175"/>
      <c r="D304" s="175"/>
      <c r="E304" s="175"/>
      <c r="AI304" s="304" t="s">
        <v>321</v>
      </c>
    </row>
    <row r="305" spans="1:35">
      <c r="A305" s="96" t="str">
        <f>UPPER($A$269)</f>
        <v>SALES &amp; MARKETING</v>
      </c>
      <c r="B305" s="97"/>
      <c r="C305" s="172"/>
      <c r="D305" s="172"/>
      <c r="E305" s="172" t="s">
        <v>246</v>
      </c>
      <c r="AI305" s="304" t="s">
        <v>321</v>
      </c>
    </row>
    <row r="306" spans="1:35">
      <c r="A306" s="96"/>
      <c r="B306" s="97" t="str">
        <f t="shared" ref="B306:B311" si="410">B270</f>
        <v>Sales Director 0%</v>
      </c>
      <c r="C306" s="172"/>
      <c r="D306" s="172"/>
      <c r="E306" s="173">
        <v>0</v>
      </c>
      <c r="F306" s="99">
        <f t="shared" ref="F306:Q306" si="411">F270*$E306/12*F$327</f>
        <v>0</v>
      </c>
      <c r="G306" s="99">
        <f t="shared" si="411"/>
        <v>0</v>
      </c>
      <c r="H306" s="99">
        <f t="shared" si="411"/>
        <v>0</v>
      </c>
      <c r="I306" s="99">
        <f t="shared" si="411"/>
        <v>0</v>
      </c>
      <c r="J306" s="99">
        <f t="shared" si="411"/>
        <v>0</v>
      </c>
      <c r="K306" s="99">
        <f t="shared" si="411"/>
        <v>0</v>
      </c>
      <c r="L306" s="99">
        <f t="shared" si="411"/>
        <v>0</v>
      </c>
      <c r="M306" s="99">
        <f t="shared" si="411"/>
        <v>0</v>
      </c>
      <c r="N306" s="99">
        <f t="shared" si="411"/>
        <v>0</v>
      </c>
      <c r="O306" s="99">
        <f t="shared" si="411"/>
        <v>0</v>
      </c>
      <c r="P306" s="99">
        <f t="shared" si="411"/>
        <v>0</v>
      </c>
      <c r="Q306" s="99">
        <f t="shared" si="411"/>
        <v>0</v>
      </c>
      <c r="R306" s="100">
        <f t="shared" ref="R306:R311" si="412">SUM(F306:Q306)</f>
        <v>0</v>
      </c>
      <c r="S306" s="99">
        <f t="shared" ref="S306:AD306" si="413">S270*$E306/12*S$327</f>
        <v>0</v>
      </c>
      <c r="T306" s="99">
        <f t="shared" si="413"/>
        <v>0</v>
      </c>
      <c r="U306" s="99">
        <f t="shared" si="413"/>
        <v>0</v>
      </c>
      <c r="V306" s="99">
        <f t="shared" si="413"/>
        <v>0</v>
      </c>
      <c r="W306" s="99">
        <f t="shared" si="413"/>
        <v>0</v>
      </c>
      <c r="X306" s="99">
        <f t="shared" si="413"/>
        <v>0</v>
      </c>
      <c r="Y306" s="99">
        <f t="shared" si="413"/>
        <v>0</v>
      </c>
      <c r="Z306" s="99">
        <f t="shared" si="413"/>
        <v>0</v>
      </c>
      <c r="AA306" s="99">
        <f t="shared" si="413"/>
        <v>0</v>
      </c>
      <c r="AB306" s="99">
        <f t="shared" si="413"/>
        <v>0</v>
      </c>
      <c r="AC306" s="99">
        <f t="shared" si="413"/>
        <v>0</v>
      </c>
      <c r="AD306" s="99">
        <f t="shared" si="413"/>
        <v>0</v>
      </c>
      <c r="AE306" s="100">
        <f t="shared" ref="AE306:AE311" si="414">SUM(S306:AD306)</f>
        <v>0</v>
      </c>
      <c r="AF306" s="100">
        <f t="shared" ref="AF306:AH311" si="415">AF270*$E306*AF$327</f>
        <v>0</v>
      </c>
      <c r="AG306" s="100">
        <f t="shared" si="415"/>
        <v>0</v>
      </c>
      <c r="AH306" s="100">
        <f t="shared" si="415"/>
        <v>0</v>
      </c>
      <c r="AI306" s="304" t="s">
        <v>321</v>
      </c>
    </row>
    <row r="307" spans="1:35">
      <c r="A307" s="96"/>
      <c r="B307" s="97" t="str">
        <f t="shared" si="410"/>
        <v>Sales Director 100%</v>
      </c>
      <c r="C307" s="172"/>
      <c r="D307" s="172"/>
      <c r="E307" s="173">
        <v>60000</v>
      </c>
      <c r="F307" s="99">
        <f t="shared" ref="F307:Q307" si="416">F271*$E307/12*F$327</f>
        <v>0</v>
      </c>
      <c r="G307" s="99">
        <f t="shared" si="416"/>
        <v>0</v>
      </c>
      <c r="H307" s="99">
        <f t="shared" si="416"/>
        <v>0</v>
      </c>
      <c r="I307" s="99">
        <f t="shared" si="416"/>
        <v>0</v>
      </c>
      <c r="J307" s="99">
        <f t="shared" si="416"/>
        <v>0</v>
      </c>
      <c r="K307" s="99">
        <f t="shared" si="416"/>
        <v>2500</v>
      </c>
      <c r="L307" s="99">
        <f t="shared" si="416"/>
        <v>2500</v>
      </c>
      <c r="M307" s="99">
        <f t="shared" si="416"/>
        <v>2500</v>
      </c>
      <c r="N307" s="99">
        <f t="shared" si="416"/>
        <v>2500</v>
      </c>
      <c r="O307" s="99">
        <f t="shared" si="416"/>
        <v>2500</v>
      </c>
      <c r="P307" s="99">
        <f t="shared" si="416"/>
        <v>2500</v>
      </c>
      <c r="Q307" s="99">
        <f t="shared" si="416"/>
        <v>2500</v>
      </c>
      <c r="R307" s="100">
        <f t="shared" si="412"/>
        <v>17500</v>
      </c>
      <c r="S307" s="99">
        <f t="shared" ref="S307:AD307" si="417">S271*$E307/12*S$327</f>
        <v>5200</v>
      </c>
      <c r="T307" s="99">
        <f t="shared" si="417"/>
        <v>5200</v>
      </c>
      <c r="U307" s="99">
        <f t="shared" si="417"/>
        <v>5200</v>
      </c>
      <c r="V307" s="99">
        <f t="shared" si="417"/>
        <v>5200</v>
      </c>
      <c r="W307" s="99">
        <f t="shared" si="417"/>
        <v>5200</v>
      </c>
      <c r="X307" s="99">
        <f t="shared" si="417"/>
        <v>5200</v>
      </c>
      <c r="Y307" s="99">
        <f t="shared" si="417"/>
        <v>5200</v>
      </c>
      <c r="Z307" s="99">
        <f t="shared" si="417"/>
        <v>5200</v>
      </c>
      <c r="AA307" s="99">
        <f t="shared" si="417"/>
        <v>5200</v>
      </c>
      <c r="AB307" s="99">
        <f t="shared" si="417"/>
        <v>5200</v>
      </c>
      <c r="AC307" s="99">
        <f t="shared" si="417"/>
        <v>5200</v>
      </c>
      <c r="AD307" s="99">
        <f t="shared" si="417"/>
        <v>5200</v>
      </c>
      <c r="AE307" s="100">
        <f t="shared" si="414"/>
        <v>62400</v>
      </c>
      <c r="AF307" s="100">
        <f t="shared" si="415"/>
        <v>64896.000000000007</v>
      </c>
      <c r="AG307" s="100">
        <f t="shared" si="415"/>
        <v>67491.840000000011</v>
      </c>
      <c r="AH307" s="100">
        <f t="shared" si="415"/>
        <v>70191.513600000006</v>
      </c>
      <c r="AI307" s="304" t="s">
        <v>321</v>
      </c>
    </row>
    <row r="308" spans="1:35">
      <c r="A308" s="96"/>
      <c r="B308" s="97" t="str">
        <f t="shared" si="410"/>
        <v>PR Person</v>
      </c>
      <c r="C308" s="172"/>
      <c r="D308" s="172"/>
      <c r="E308" s="173">
        <v>60000</v>
      </c>
      <c r="F308" s="99">
        <f t="shared" ref="F308:Q308" si="418">F272*$E308/12*F$327</f>
        <v>0</v>
      </c>
      <c r="G308" s="99">
        <f t="shared" si="418"/>
        <v>0</v>
      </c>
      <c r="H308" s="99">
        <f t="shared" si="418"/>
        <v>0</v>
      </c>
      <c r="I308" s="99">
        <f t="shared" si="418"/>
        <v>0</v>
      </c>
      <c r="J308" s="99">
        <f t="shared" si="418"/>
        <v>0</v>
      </c>
      <c r="K308" s="99">
        <f t="shared" si="418"/>
        <v>0</v>
      </c>
      <c r="L308" s="99">
        <f t="shared" si="418"/>
        <v>0</v>
      </c>
      <c r="M308" s="99">
        <f t="shared" si="418"/>
        <v>0</v>
      </c>
      <c r="N308" s="99">
        <f t="shared" si="418"/>
        <v>0</v>
      </c>
      <c r="O308" s="99">
        <f t="shared" si="418"/>
        <v>0</v>
      </c>
      <c r="P308" s="99">
        <f t="shared" si="418"/>
        <v>0</v>
      </c>
      <c r="Q308" s="99">
        <f t="shared" si="418"/>
        <v>0</v>
      </c>
      <c r="R308" s="100">
        <f t="shared" si="412"/>
        <v>0</v>
      </c>
      <c r="S308" s="99">
        <f t="shared" ref="S308:AD308" si="419">S272*$E308/12*S$327</f>
        <v>0</v>
      </c>
      <c r="T308" s="99">
        <f t="shared" si="419"/>
        <v>0</v>
      </c>
      <c r="U308" s="99">
        <f t="shared" si="419"/>
        <v>0</v>
      </c>
      <c r="V308" s="99">
        <f t="shared" si="419"/>
        <v>0</v>
      </c>
      <c r="W308" s="99">
        <f t="shared" si="419"/>
        <v>0</v>
      </c>
      <c r="X308" s="99">
        <f t="shared" si="419"/>
        <v>0</v>
      </c>
      <c r="Y308" s="99">
        <f t="shared" si="419"/>
        <v>0</v>
      </c>
      <c r="Z308" s="99">
        <f t="shared" si="419"/>
        <v>0</v>
      </c>
      <c r="AA308" s="99">
        <f t="shared" si="419"/>
        <v>0</v>
      </c>
      <c r="AB308" s="99">
        <f t="shared" si="419"/>
        <v>0</v>
      </c>
      <c r="AC308" s="99">
        <f t="shared" si="419"/>
        <v>0</v>
      </c>
      <c r="AD308" s="99">
        <f t="shared" si="419"/>
        <v>0</v>
      </c>
      <c r="AE308" s="100">
        <f t="shared" si="414"/>
        <v>0</v>
      </c>
      <c r="AF308" s="100">
        <f t="shared" si="415"/>
        <v>0</v>
      </c>
      <c r="AG308" s="100">
        <f t="shared" si="415"/>
        <v>67491.840000000011</v>
      </c>
      <c r="AH308" s="100">
        <f t="shared" si="415"/>
        <v>70191.513600000006</v>
      </c>
      <c r="AI308" s="304" t="s">
        <v>321</v>
      </c>
    </row>
    <row r="309" spans="1:35">
      <c r="A309" s="96"/>
      <c r="B309" s="97" t="str">
        <f t="shared" si="410"/>
        <v>Sales Rep/Mkt</v>
      </c>
      <c r="C309" s="172"/>
      <c r="D309" s="172"/>
      <c r="E309" s="173">
        <v>50000</v>
      </c>
      <c r="F309" s="99">
        <f t="shared" ref="F309:Q309" si="420">F273*$E309/12*F$327</f>
        <v>0</v>
      </c>
      <c r="G309" s="99">
        <f t="shared" si="420"/>
        <v>0</v>
      </c>
      <c r="H309" s="99">
        <f t="shared" si="420"/>
        <v>0</v>
      </c>
      <c r="I309" s="99">
        <f t="shared" si="420"/>
        <v>0</v>
      </c>
      <c r="J309" s="99">
        <f t="shared" si="420"/>
        <v>0</v>
      </c>
      <c r="K309" s="99">
        <f t="shared" si="420"/>
        <v>0</v>
      </c>
      <c r="L309" s="99">
        <f t="shared" si="420"/>
        <v>0</v>
      </c>
      <c r="M309" s="99">
        <f t="shared" si="420"/>
        <v>0</v>
      </c>
      <c r="N309" s="99">
        <f t="shared" si="420"/>
        <v>0</v>
      </c>
      <c r="O309" s="99">
        <f t="shared" si="420"/>
        <v>0</v>
      </c>
      <c r="P309" s="99">
        <f t="shared" si="420"/>
        <v>0</v>
      </c>
      <c r="Q309" s="99">
        <f t="shared" si="420"/>
        <v>0</v>
      </c>
      <c r="R309" s="100">
        <f t="shared" si="412"/>
        <v>0</v>
      </c>
      <c r="S309" s="99">
        <f t="shared" ref="S309:AD309" si="421">S273*$E309/12*S$327</f>
        <v>4333.3333333333339</v>
      </c>
      <c r="T309" s="99">
        <f t="shared" si="421"/>
        <v>8666.6666666666679</v>
      </c>
      <c r="U309" s="99">
        <f t="shared" si="421"/>
        <v>13000</v>
      </c>
      <c r="V309" s="99">
        <f t="shared" si="421"/>
        <v>13000</v>
      </c>
      <c r="W309" s="99">
        <f t="shared" si="421"/>
        <v>13000</v>
      </c>
      <c r="X309" s="99">
        <f t="shared" si="421"/>
        <v>13000</v>
      </c>
      <c r="Y309" s="99">
        <f t="shared" si="421"/>
        <v>13000</v>
      </c>
      <c r="Z309" s="99">
        <f t="shared" si="421"/>
        <v>13000</v>
      </c>
      <c r="AA309" s="99">
        <f t="shared" si="421"/>
        <v>13000</v>
      </c>
      <c r="AB309" s="99">
        <f t="shared" si="421"/>
        <v>13000</v>
      </c>
      <c r="AC309" s="99">
        <f t="shared" si="421"/>
        <v>13000</v>
      </c>
      <c r="AD309" s="99">
        <f t="shared" si="421"/>
        <v>13000</v>
      </c>
      <c r="AE309" s="100">
        <f t="shared" si="414"/>
        <v>143000</v>
      </c>
      <c r="AF309" s="100">
        <f t="shared" si="415"/>
        <v>270400.00000000006</v>
      </c>
      <c r="AG309" s="100">
        <f t="shared" si="415"/>
        <v>393702.40000000002</v>
      </c>
      <c r="AH309" s="100">
        <f t="shared" si="415"/>
        <v>526436.35200000007</v>
      </c>
      <c r="AI309" s="304" t="s">
        <v>321</v>
      </c>
    </row>
    <row r="310" spans="1:35">
      <c r="A310" s="96"/>
      <c r="B310" s="97">
        <f t="shared" si="410"/>
        <v>0</v>
      </c>
      <c r="C310" s="172"/>
      <c r="D310" s="172"/>
      <c r="E310" s="173"/>
      <c r="F310" s="99">
        <f t="shared" ref="F310:Q310" si="422">F274*$E310/12*F$327</f>
        <v>0</v>
      </c>
      <c r="G310" s="99">
        <f t="shared" si="422"/>
        <v>0</v>
      </c>
      <c r="H310" s="99">
        <f t="shared" si="422"/>
        <v>0</v>
      </c>
      <c r="I310" s="99">
        <f t="shared" si="422"/>
        <v>0</v>
      </c>
      <c r="J310" s="99">
        <f t="shared" si="422"/>
        <v>0</v>
      </c>
      <c r="K310" s="99">
        <f t="shared" si="422"/>
        <v>0</v>
      </c>
      <c r="L310" s="99">
        <f t="shared" si="422"/>
        <v>0</v>
      </c>
      <c r="M310" s="99">
        <f t="shared" si="422"/>
        <v>0</v>
      </c>
      <c r="N310" s="99">
        <f t="shared" si="422"/>
        <v>0</v>
      </c>
      <c r="O310" s="99">
        <f t="shared" si="422"/>
        <v>0</v>
      </c>
      <c r="P310" s="99">
        <f t="shared" si="422"/>
        <v>0</v>
      </c>
      <c r="Q310" s="99">
        <f t="shared" si="422"/>
        <v>0</v>
      </c>
      <c r="R310" s="100">
        <f t="shared" si="412"/>
        <v>0</v>
      </c>
      <c r="S310" s="99">
        <f t="shared" ref="S310:AD310" si="423">S274*$E310/12*S$327</f>
        <v>0</v>
      </c>
      <c r="T310" s="99">
        <f t="shared" si="423"/>
        <v>0</v>
      </c>
      <c r="U310" s="99">
        <f t="shared" si="423"/>
        <v>0</v>
      </c>
      <c r="V310" s="99">
        <f t="shared" si="423"/>
        <v>0</v>
      </c>
      <c r="W310" s="99">
        <f t="shared" si="423"/>
        <v>0</v>
      </c>
      <c r="X310" s="99">
        <f t="shared" si="423"/>
        <v>0</v>
      </c>
      <c r="Y310" s="99">
        <f t="shared" si="423"/>
        <v>0</v>
      </c>
      <c r="Z310" s="99">
        <f t="shared" si="423"/>
        <v>0</v>
      </c>
      <c r="AA310" s="99">
        <f t="shared" si="423"/>
        <v>0</v>
      </c>
      <c r="AB310" s="99">
        <f t="shared" si="423"/>
        <v>0</v>
      </c>
      <c r="AC310" s="99">
        <f t="shared" si="423"/>
        <v>0</v>
      </c>
      <c r="AD310" s="99">
        <f t="shared" si="423"/>
        <v>0</v>
      </c>
      <c r="AE310" s="100">
        <f t="shared" si="414"/>
        <v>0</v>
      </c>
      <c r="AF310" s="100">
        <f t="shared" si="415"/>
        <v>0</v>
      </c>
      <c r="AG310" s="100">
        <f t="shared" si="415"/>
        <v>0</v>
      </c>
      <c r="AH310" s="100">
        <f t="shared" si="415"/>
        <v>0</v>
      </c>
      <c r="AI310" s="304" t="s">
        <v>321</v>
      </c>
    </row>
    <row r="311" spans="1:35">
      <c r="A311" s="96"/>
      <c r="B311" s="97">
        <f t="shared" si="410"/>
        <v>0</v>
      </c>
      <c r="C311" s="172"/>
      <c r="D311" s="172"/>
      <c r="E311" s="173"/>
      <c r="F311" s="99">
        <f t="shared" ref="F311:Q311" si="424">F275*$E311/12*F$327</f>
        <v>0</v>
      </c>
      <c r="G311" s="99">
        <f t="shared" si="424"/>
        <v>0</v>
      </c>
      <c r="H311" s="99">
        <f t="shared" si="424"/>
        <v>0</v>
      </c>
      <c r="I311" s="99">
        <f t="shared" si="424"/>
        <v>0</v>
      </c>
      <c r="J311" s="99">
        <f t="shared" si="424"/>
        <v>0</v>
      </c>
      <c r="K311" s="99">
        <f t="shared" si="424"/>
        <v>0</v>
      </c>
      <c r="L311" s="99">
        <f t="shared" si="424"/>
        <v>0</v>
      </c>
      <c r="M311" s="99">
        <f t="shared" si="424"/>
        <v>0</v>
      </c>
      <c r="N311" s="99">
        <f t="shared" si="424"/>
        <v>0</v>
      </c>
      <c r="O311" s="99">
        <f t="shared" si="424"/>
        <v>0</v>
      </c>
      <c r="P311" s="99">
        <f t="shared" si="424"/>
        <v>0</v>
      </c>
      <c r="Q311" s="99">
        <f t="shared" si="424"/>
        <v>0</v>
      </c>
      <c r="R311" s="100">
        <f t="shared" si="412"/>
        <v>0</v>
      </c>
      <c r="S311" s="99">
        <f t="shared" ref="S311:AD311" si="425">S275*$E311/12*S$327</f>
        <v>0</v>
      </c>
      <c r="T311" s="99">
        <f t="shared" si="425"/>
        <v>0</v>
      </c>
      <c r="U311" s="99">
        <f t="shared" si="425"/>
        <v>0</v>
      </c>
      <c r="V311" s="99">
        <f t="shared" si="425"/>
        <v>0</v>
      </c>
      <c r="W311" s="99">
        <f t="shared" si="425"/>
        <v>0</v>
      </c>
      <c r="X311" s="99">
        <f t="shared" si="425"/>
        <v>0</v>
      </c>
      <c r="Y311" s="99">
        <f t="shared" si="425"/>
        <v>0</v>
      </c>
      <c r="Z311" s="99">
        <f t="shared" si="425"/>
        <v>0</v>
      </c>
      <c r="AA311" s="99">
        <f t="shared" si="425"/>
        <v>0</v>
      </c>
      <c r="AB311" s="99">
        <f t="shared" si="425"/>
        <v>0</v>
      </c>
      <c r="AC311" s="99">
        <f t="shared" si="425"/>
        <v>0</v>
      </c>
      <c r="AD311" s="99">
        <f t="shared" si="425"/>
        <v>0</v>
      </c>
      <c r="AE311" s="100">
        <f t="shared" si="414"/>
        <v>0</v>
      </c>
      <c r="AF311" s="100">
        <f t="shared" si="415"/>
        <v>0</v>
      </c>
      <c r="AG311" s="100">
        <f t="shared" si="415"/>
        <v>0</v>
      </c>
      <c r="AH311" s="100">
        <f t="shared" si="415"/>
        <v>0</v>
      </c>
      <c r="AI311" s="304" t="s">
        <v>321</v>
      </c>
    </row>
    <row r="312" spans="1:35">
      <c r="A312" s="96" t="s">
        <v>247</v>
      </c>
      <c r="B312" s="102"/>
      <c r="C312" s="174"/>
      <c r="D312" s="174"/>
      <c r="E312" s="174"/>
      <c r="F312" s="323">
        <f>SUM(F306:F311)</f>
        <v>0</v>
      </c>
      <c r="G312" s="110">
        <f>SUM(G306:G311)</f>
        <v>0</v>
      </c>
      <c r="H312" s="110">
        <f>SUM(H306:H311)</f>
        <v>0</v>
      </c>
      <c r="I312" s="110">
        <f>SUM(I306:I311)</f>
        <v>0</v>
      </c>
      <c r="J312" s="110">
        <f>SUM(J306:J311)</f>
        <v>0</v>
      </c>
      <c r="K312" s="103">
        <f t="shared" ref="K312:Q312" si="426">SUM(K306:K311)</f>
        <v>2500</v>
      </c>
      <c r="L312" s="103">
        <f t="shared" si="426"/>
        <v>2500</v>
      </c>
      <c r="M312" s="103">
        <f t="shared" si="426"/>
        <v>2500</v>
      </c>
      <c r="N312" s="103">
        <f t="shared" si="426"/>
        <v>2500</v>
      </c>
      <c r="O312" s="103">
        <f t="shared" si="426"/>
        <v>2500</v>
      </c>
      <c r="P312" s="103">
        <f t="shared" si="426"/>
        <v>2500</v>
      </c>
      <c r="Q312" s="103">
        <f t="shared" si="426"/>
        <v>2500</v>
      </c>
      <c r="R312" s="104">
        <f>SUM(F312:Q312)</f>
        <v>17500</v>
      </c>
      <c r="S312" s="103">
        <f t="shared" ref="S312:AD312" si="427">SUM(S306:S311)</f>
        <v>9533.3333333333339</v>
      </c>
      <c r="T312" s="103">
        <f t="shared" si="427"/>
        <v>13866.666666666668</v>
      </c>
      <c r="U312" s="103">
        <f t="shared" si="427"/>
        <v>18200</v>
      </c>
      <c r="V312" s="103">
        <f t="shared" si="427"/>
        <v>18200</v>
      </c>
      <c r="W312" s="103">
        <f t="shared" si="427"/>
        <v>18200</v>
      </c>
      <c r="X312" s="103">
        <f t="shared" si="427"/>
        <v>18200</v>
      </c>
      <c r="Y312" s="103">
        <f t="shared" si="427"/>
        <v>18200</v>
      </c>
      <c r="Z312" s="103">
        <f t="shared" si="427"/>
        <v>18200</v>
      </c>
      <c r="AA312" s="103">
        <f t="shared" si="427"/>
        <v>18200</v>
      </c>
      <c r="AB312" s="103">
        <f t="shared" si="427"/>
        <v>18200</v>
      </c>
      <c r="AC312" s="103">
        <f t="shared" si="427"/>
        <v>18200</v>
      </c>
      <c r="AD312" s="103">
        <f t="shared" si="427"/>
        <v>18200</v>
      </c>
      <c r="AE312" s="104">
        <f>SUM(S312:AD312)</f>
        <v>205400</v>
      </c>
      <c r="AF312" s="104">
        <f>SUM(AF306:AF311)</f>
        <v>335296.00000000006</v>
      </c>
      <c r="AG312" s="104">
        <f>SUM(AG306:AG311)</f>
        <v>528686.08000000007</v>
      </c>
      <c r="AH312" s="104">
        <f>SUM(AH306:AH311)</f>
        <v>666819.37920000008</v>
      </c>
      <c r="AI312" s="304" t="s">
        <v>321</v>
      </c>
    </row>
    <row r="313" spans="1:35">
      <c r="A313" s="96"/>
      <c r="B313" s="97"/>
      <c r="C313" s="175"/>
      <c r="D313" s="175"/>
      <c r="E313" s="175"/>
      <c r="AI313" s="304" t="s">
        <v>321</v>
      </c>
    </row>
    <row r="314" spans="1:35">
      <c r="A314" s="96" t="str">
        <f>UPPER($A$278)</f>
        <v>ADMINISTRATION</v>
      </c>
      <c r="B314" s="97"/>
      <c r="C314" s="172"/>
      <c r="D314" s="172"/>
      <c r="E314" s="172" t="s">
        <v>246</v>
      </c>
      <c r="AI314" s="304" t="s">
        <v>321</v>
      </c>
    </row>
    <row r="315" spans="1:35">
      <c r="A315" s="96"/>
      <c r="B315" s="97" t="str">
        <f>B279</f>
        <v>CEO 0%</v>
      </c>
      <c r="C315" s="172"/>
      <c r="D315" s="172"/>
      <c r="E315" s="173">
        <v>0</v>
      </c>
      <c r="F315" s="99">
        <f t="shared" ref="F315:Q315" si="428">F279*$E315/12*F$327</f>
        <v>0</v>
      </c>
      <c r="G315" s="99">
        <f t="shared" si="428"/>
        <v>0</v>
      </c>
      <c r="H315" s="99">
        <f t="shared" si="428"/>
        <v>0</v>
      </c>
      <c r="I315" s="99">
        <f t="shared" si="428"/>
        <v>0</v>
      </c>
      <c r="J315" s="99">
        <f t="shared" si="428"/>
        <v>0</v>
      </c>
      <c r="K315" s="99">
        <f t="shared" si="428"/>
        <v>0</v>
      </c>
      <c r="L315" s="99">
        <f t="shared" si="428"/>
        <v>0</v>
      </c>
      <c r="M315" s="99">
        <f t="shared" si="428"/>
        <v>0</v>
      </c>
      <c r="N315" s="99">
        <f t="shared" si="428"/>
        <v>0</v>
      </c>
      <c r="O315" s="99">
        <f t="shared" si="428"/>
        <v>0</v>
      </c>
      <c r="P315" s="99">
        <f t="shared" si="428"/>
        <v>0</v>
      </c>
      <c r="Q315" s="99">
        <f t="shared" si="428"/>
        <v>0</v>
      </c>
      <c r="R315" s="100">
        <f t="shared" ref="R315:R321" si="429">SUM(F315:Q315)</f>
        <v>0</v>
      </c>
      <c r="S315" s="99">
        <f t="shared" ref="S315:AD315" si="430">S279*$E315/12*S$327</f>
        <v>0</v>
      </c>
      <c r="T315" s="99">
        <f t="shared" si="430"/>
        <v>0</v>
      </c>
      <c r="U315" s="99">
        <f t="shared" si="430"/>
        <v>0</v>
      </c>
      <c r="V315" s="99">
        <f t="shared" si="430"/>
        <v>0</v>
      </c>
      <c r="W315" s="99">
        <f t="shared" si="430"/>
        <v>0</v>
      </c>
      <c r="X315" s="99">
        <f t="shared" si="430"/>
        <v>0</v>
      </c>
      <c r="Y315" s="99">
        <f t="shared" si="430"/>
        <v>0</v>
      </c>
      <c r="Z315" s="99">
        <f t="shared" si="430"/>
        <v>0</v>
      </c>
      <c r="AA315" s="99">
        <f t="shared" si="430"/>
        <v>0</v>
      </c>
      <c r="AB315" s="99">
        <f t="shared" si="430"/>
        <v>0</v>
      </c>
      <c r="AC315" s="99">
        <f t="shared" si="430"/>
        <v>0</v>
      </c>
      <c r="AD315" s="99">
        <f t="shared" si="430"/>
        <v>0</v>
      </c>
      <c r="AE315" s="100">
        <f t="shared" ref="AE315:AE321" si="431">SUM(S315:AD315)</f>
        <v>0</v>
      </c>
      <c r="AF315" s="100">
        <f t="shared" ref="AF315:AH321" si="432">AF279*$E315*AF$327</f>
        <v>0</v>
      </c>
      <c r="AG315" s="100">
        <f t="shared" si="432"/>
        <v>0</v>
      </c>
      <c r="AH315" s="100">
        <f t="shared" si="432"/>
        <v>0</v>
      </c>
      <c r="AI315" s="304" t="s">
        <v>321</v>
      </c>
    </row>
    <row r="316" spans="1:35">
      <c r="A316" s="96"/>
      <c r="B316" s="97" t="str">
        <f t="shared" ref="B316:B321" si="433">B280</f>
        <v>CEO 100%</v>
      </c>
      <c r="C316" s="172"/>
      <c r="D316" s="172"/>
      <c r="E316" s="173">
        <v>60000</v>
      </c>
      <c r="F316" s="99">
        <f t="shared" ref="F316:Q316" si="434">F280*$E316/12*F$327</f>
        <v>0</v>
      </c>
      <c r="G316" s="99">
        <f t="shared" si="434"/>
        <v>0</v>
      </c>
      <c r="H316" s="99">
        <f t="shared" si="434"/>
        <v>0</v>
      </c>
      <c r="I316" s="99">
        <f t="shared" si="434"/>
        <v>0</v>
      </c>
      <c r="J316" s="99">
        <f t="shared" si="434"/>
        <v>0</v>
      </c>
      <c r="K316" s="99">
        <f t="shared" si="434"/>
        <v>5000</v>
      </c>
      <c r="L316" s="99">
        <f t="shared" si="434"/>
        <v>5000</v>
      </c>
      <c r="M316" s="99">
        <f t="shared" si="434"/>
        <v>5000</v>
      </c>
      <c r="N316" s="99">
        <f t="shared" si="434"/>
        <v>5000</v>
      </c>
      <c r="O316" s="99">
        <f t="shared" si="434"/>
        <v>5000</v>
      </c>
      <c r="P316" s="99">
        <f t="shared" si="434"/>
        <v>5000</v>
      </c>
      <c r="Q316" s="99">
        <f t="shared" si="434"/>
        <v>5000</v>
      </c>
      <c r="R316" s="100">
        <f t="shared" si="429"/>
        <v>35000</v>
      </c>
      <c r="S316" s="99">
        <f t="shared" ref="S316:AD316" si="435">S280*$E316/12*S$327</f>
        <v>5200</v>
      </c>
      <c r="T316" s="99">
        <f t="shared" si="435"/>
        <v>5200</v>
      </c>
      <c r="U316" s="99">
        <f t="shared" si="435"/>
        <v>5200</v>
      </c>
      <c r="V316" s="99">
        <f t="shared" si="435"/>
        <v>5200</v>
      </c>
      <c r="W316" s="99">
        <f t="shared" si="435"/>
        <v>5200</v>
      </c>
      <c r="X316" s="99">
        <f t="shared" si="435"/>
        <v>5200</v>
      </c>
      <c r="Y316" s="99">
        <f t="shared" si="435"/>
        <v>5200</v>
      </c>
      <c r="Z316" s="99">
        <f t="shared" si="435"/>
        <v>5200</v>
      </c>
      <c r="AA316" s="99">
        <f t="shared" si="435"/>
        <v>5200</v>
      </c>
      <c r="AB316" s="99">
        <f t="shared" si="435"/>
        <v>5200</v>
      </c>
      <c r="AC316" s="99">
        <f t="shared" si="435"/>
        <v>5200</v>
      </c>
      <c r="AD316" s="99">
        <f t="shared" si="435"/>
        <v>5200</v>
      </c>
      <c r="AE316" s="100">
        <f t="shared" si="431"/>
        <v>62400</v>
      </c>
      <c r="AF316" s="100">
        <f t="shared" si="432"/>
        <v>64896.000000000007</v>
      </c>
      <c r="AG316" s="100">
        <f t="shared" si="432"/>
        <v>67491.840000000011</v>
      </c>
      <c r="AH316" s="100">
        <f t="shared" si="432"/>
        <v>70191.513600000006</v>
      </c>
      <c r="AI316" s="304" t="s">
        <v>321</v>
      </c>
    </row>
    <row r="317" spans="1:35">
      <c r="A317" s="96"/>
      <c r="B317" s="97" t="str">
        <f t="shared" si="433"/>
        <v>CFO 50%</v>
      </c>
      <c r="C317" s="172"/>
      <c r="D317" s="172"/>
      <c r="E317" s="173">
        <v>30000</v>
      </c>
      <c r="F317" s="99">
        <f t="shared" ref="F317:Q317" si="436">F281*$E317/12*F$327</f>
        <v>0</v>
      </c>
      <c r="G317" s="99">
        <f t="shared" si="436"/>
        <v>0</v>
      </c>
      <c r="H317" s="99">
        <f t="shared" si="436"/>
        <v>0</v>
      </c>
      <c r="I317" s="99">
        <f t="shared" si="436"/>
        <v>0</v>
      </c>
      <c r="J317" s="99">
        <f t="shared" si="436"/>
        <v>0</v>
      </c>
      <c r="K317" s="99">
        <f t="shared" si="436"/>
        <v>1250</v>
      </c>
      <c r="L317" s="99">
        <f t="shared" si="436"/>
        <v>1250</v>
      </c>
      <c r="M317" s="99">
        <f t="shared" si="436"/>
        <v>1250</v>
      </c>
      <c r="N317" s="99">
        <f t="shared" si="436"/>
        <v>1250</v>
      </c>
      <c r="O317" s="99">
        <f t="shared" si="436"/>
        <v>1250</v>
      </c>
      <c r="P317" s="99">
        <f t="shared" si="436"/>
        <v>1250</v>
      </c>
      <c r="Q317" s="99">
        <f t="shared" si="436"/>
        <v>1250</v>
      </c>
      <c r="R317" s="100">
        <f t="shared" si="429"/>
        <v>8750</v>
      </c>
      <c r="S317" s="99">
        <f t="shared" ref="S317:AD317" si="437">S281*$E317/12*S$327</f>
        <v>0</v>
      </c>
      <c r="T317" s="99">
        <f t="shared" si="437"/>
        <v>0</v>
      </c>
      <c r="U317" s="99">
        <f t="shared" si="437"/>
        <v>0</v>
      </c>
      <c r="V317" s="99">
        <f t="shared" si="437"/>
        <v>0</v>
      </c>
      <c r="W317" s="99">
        <f t="shared" si="437"/>
        <v>0</v>
      </c>
      <c r="X317" s="99">
        <f t="shared" si="437"/>
        <v>0</v>
      </c>
      <c r="Y317" s="99">
        <f t="shared" si="437"/>
        <v>0</v>
      </c>
      <c r="Z317" s="99">
        <f t="shared" si="437"/>
        <v>0</v>
      </c>
      <c r="AA317" s="99">
        <f t="shared" si="437"/>
        <v>0</v>
      </c>
      <c r="AB317" s="99">
        <f t="shared" si="437"/>
        <v>0</v>
      </c>
      <c r="AC317" s="99">
        <f t="shared" si="437"/>
        <v>0</v>
      </c>
      <c r="AD317" s="99">
        <f t="shared" si="437"/>
        <v>0</v>
      </c>
      <c r="AE317" s="100">
        <f t="shared" si="431"/>
        <v>0</v>
      </c>
      <c r="AF317" s="100">
        <f t="shared" si="432"/>
        <v>0</v>
      </c>
      <c r="AG317" s="100">
        <f t="shared" si="432"/>
        <v>0</v>
      </c>
      <c r="AH317" s="100">
        <f t="shared" si="432"/>
        <v>0</v>
      </c>
      <c r="AI317" s="304" t="s">
        <v>321</v>
      </c>
    </row>
    <row r="318" spans="1:35">
      <c r="A318" s="96"/>
      <c r="B318" s="97" t="str">
        <f t="shared" si="433"/>
        <v>CFO 100%</v>
      </c>
      <c r="C318" s="172"/>
      <c r="D318" s="172"/>
      <c r="E318" s="173">
        <v>60000</v>
      </c>
      <c r="F318" s="99">
        <f t="shared" ref="F318:Q318" si="438">F282*$E318/12*F$327</f>
        <v>0</v>
      </c>
      <c r="G318" s="99">
        <f t="shared" si="438"/>
        <v>0</v>
      </c>
      <c r="H318" s="99">
        <f t="shared" si="438"/>
        <v>0</v>
      </c>
      <c r="I318" s="99">
        <f t="shared" si="438"/>
        <v>0</v>
      </c>
      <c r="J318" s="99">
        <f t="shared" si="438"/>
        <v>0</v>
      </c>
      <c r="K318" s="99">
        <f t="shared" si="438"/>
        <v>0</v>
      </c>
      <c r="L318" s="99">
        <f t="shared" si="438"/>
        <v>0</v>
      </c>
      <c r="M318" s="99">
        <f t="shared" si="438"/>
        <v>0</v>
      </c>
      <c r="N318" s="99">
        <f t="shared" si="438"/>
        <v>0</v>
      </c>
      <c r="O318" s="99">
        <f t="shared" si="438"/>
        <v>0</v>
      </c>
      <c r="P318" s="99">
        <f t="shared" si="438"/>
        <v>0</v>
      </c>
      <c r="Q318" s="99">
        <f t="shared" si="438"/>
        <v>0</v>
      </c>
      <c r="R318" s="100">
        <f t="shared" si="429"/>
        <v>0</v>
      </c>
      <c r="S318" s="99">
        <f t="shared" ref="S318:AD318" si="439">S282*$E318/12*S$327</f>
        <v>5200</v>
      </c>
      <c r="T318" s="99">
        <f t="shared" si="439"/>
        <v>5200</v>
      </c>
      <c r="U318" s="99">
        <f t="shared" si="439"/>
        <v>5200</v>
      </c>
      <c r="V318" s="99">
        <f t="shared" si="439"/>
        <v>5200</v>
      </c>
      <c r="W318" s="99">
        <f t="shared" si="439"/>
        <v>5200</v>
      </c>
      <c r="X318" s="99">
        <f t="shared" si="439"/>
        <v>5200</v>
      </c>
      <c r="Y318" s="99">
        <f t="shared" si="439"/>
        <v>5200</v>
      </c>
      <c r="Z318" s="99">
        <f t="shared" si="439"/>
        <v>5200</v>
      </c>
      <c r="AA318" s="99">
        <f t="shared" si="439"/>
        <v>5200</v>
      </c>
      <c r="AB318" s="99">
        <f t="shared" si="439"/>
        <v>5200</v>
      </c>
      <c r="AC318" s="99">
        <f t="shared" si="439"/>
        <v>5200</v>
      </c>
      <c r="AD318" s="99">
        <f t="shared" si="439"/>
        <v>5200</v>
      </c>
      <c r="AE318" s="100">
        <f t="shared" si="431"/>
        <v>62400</v>
      </c>
      <c r="AF318" s="100">
        <f t="shared" si="432"/>
        <v>64896.000000000007</v>
      </c>
      <c r="AG318" s="100">
        <f t="shared" si="432"/>
        <v>67491.840000000011</v>
      </c>
      <c r="AH318" s="100">
        <f t="shared" si="432"/>
        <v>70191.513600000006</v>
      </c>
      <c r="AI318" s="304" t="s">
        <v>321</v>
      </c>
    </row>
    <row r="319" spans="1:35">
      <c r="A319" s="96"/>
      <c r="B319" s="97" t="str">
        <f t="shared" si="433"/>
        <v>COO 0%</v>
      </c>
      <c r="C319" s="172"/>
      <c r="D319" s="172"/>
      <c r="E319" s="173">
        <v>0</v>
      </c>
      <c r="F319" s="99">
        <f t="shared" ref="F319:Q319" si="440">F283*$E319/12*F$327</f>
        <v>0</v>
      </c>
      <c r="G319" s="99">
        <f t="shared" si="440"/>
        <v>0</v>
      </c>
      <c r="H319" s="99">
        <f t="shared" si="440"/>
        <v>0</v>
      </c>
      <c r="I319" s="99">
        <f t="shared" si="440"/>
        <v>0</v>
      </c>
      <c r="J319" s="99">
        <f t="shared" si="440"/>
        <v>0</v>
      </c>
      <c r="K319" s="99">
        <f t="shared" si="440"/>
        <v>0</v>
      </c>
      <c r="L319" s="99">
        <f t="shared" si="440"/>
        <v>0</v>
      </c>
      <c r="M319" s="99">
        <f t="shared" si="440"/>
        <v>0</v>
      </c>
      <c r="N319" s="99">
        <f t="shared" si="440"/>
        <v>0</v>
      </c>
      <c r="O319" s="99">
        <f t="shared" si="440"/>
        <v>0</v>
      </c>
      <c r="P319" s="99">
        <f t="shared" si="440"/>
        <v>0</v>
      </c>
      <c r="Q319" s="99">
        <f t="shared" si="440"/>
        <v>0</v>
      </c>
      <c r="R319" s="100">
        <f t="shared" si="429"/>
        <v>0</v>
      </c>
      <c r="S319" s="99">
        <f t="shared" ref="S319:AD319" si="441">S283*$E319/12*S$327</f>
        <v>0</v>
      </c>
      <c r="T319" s="99">
        <f t="shared" si="441"/>
        <v>0</v>
      </c>
      <c r="U319" s="99">
        <f t="shared" si="441"/>
        <v>0</v>
      </c>
      <c r="V319" s="99">
        <f t="shared" si="441"/>
        <v>0</v>
      </c>
      <c r="W319" s="99">
        <f t="shared" si="441"/>
        <v>0</v>
      </c>
      <c r="X319" s="99">
        <f t="shared" si="441"/>
        <v>0</v>
      </c>
      <c r="Y319" s="99">
        <f t="shared" si="441"/>
        <v>0</v>
      </c>
      <c r="Z319" s="99">
        <f t="shared" si="441"/>
        <v>0</v>
      </c>
      <c r="AA319" s="99">
        <f t="shared" si="441"/>
        <v>0</v>
      </c>
      <c r="AB319" s="99">
        <f t="shared" si="441"/>
        <v>0</v>
      </c>
      <c r="AC319" s="99">
        <f t="shared" si="441"/>
        <v>0</v>
      </c>
      <c r="AD319" s="99">
        <f t="shared" si="441"/>
        <v>0</v>
      </c>
      <c r="AE319" s="100">
        <f t="shared" si="431"/>
        <v>0</v>
      </c>
      <c r="AF319" s="100">
        <f t="shared" si="432"/>
        <v>0</v>
      </c>
      <c r="AG319" s="100">
        <f t="shared" si="432"/>
        <v>0</v>
      </c>
      <c r="AH319" s="100">
        <f t="shared" si="432"/>
        <v>0</v>
      </c>
      <c r="AI319" s="304" t="s">
        <v>321</v>
      </c>
    </row>
    <row r="320" spans="1:35">
      <c r="A320" s="96"/>
      <c r="B320" s="97" t="str">
        <f t="shared" si="433"/>
        <v>COO 100%</v>
      </c>
      <c r="C320" s="172"/>
      <c r="D320" s="172"/>
      <c r="E320" s="173">
        <v>60000</v>
      </c>
      <c r="F320" s="99">
        <f>F284*$E320/12*F$327</f>
        <v>0</v>
      </c>
      <c r="G320" s="99">
        <f t="shared" ref="G320:Q320" si="442">G284*$E320/12*G$327</f>
        <v>0</v>
      </c>
      <c r="H320" s="99">
        <f t="shared" si="442"/>
        <v>0</v>
      </c>
      <c r="I320" s="99">
        <f t="shared" si="442"/>
        <v>0</v>
      </c>
      <c r="J320" s="99">
        <f t="shared" si="442"/>
        <v>0</v>
      </c>
      <c r="K320" s="99">
        <f t="shared" si="442"/>
        <v>2500</v>
      </c>
      <c r="L320" s="99">
        <f t="shared" si="442"/>
        <v>2500</v>
      </c>
      <c r="M320" s="99">
        <f>M284*$E320/12*M$327</f>
        <v>2500</v>
      </c>
      <c r="N320" s="99">
        <f t="shared" si="442"/>
        <v>2500</v>
      </c>
      <c r="O320" s="99">
        <f t="shared" si="442"/>
        <v>2500</v>
      </c>
      <c r="P320" s="99">
        <f t="shared" si="442"/>
        <v>2500</v>
      </c>
      <c r="Q320" s="99">
        <f t="shared" si="442"/>
        <v>2500</v>
      </c>
      <c r="R320" s="100">
        <f t="shared" si="429"/>
        <v>17500</v>
      </c>
      <c r="S320" s="99">
        <f>S284*$E320/12*S$327</f>
        <v>5200</v>
      </c>
      <c r="T320" s="99">
        <f t="shared" ref="T320:AD320" si="443">T284*$E320/12*T$327</f>
        <v>5200</v>
      </c>
      <c r="U320" s="99">
        <f t="shared" si="443"/>
        <v>5200</v>
      </c>
      <c r="V320" s="99">
        <f t="shared" si="443"/>
        <v>5200</v>
      </c>
      <c r="W320" s="99">
        <f t="shared" si="443"/>
        <v>5200</v>
      </c>
      <c r="X320" s="99">
        <f t="shared" si="443"/>
        <v>5200</v>
      </c>
      <c r="Y320" s="99">
        <f t="shared" si="443"/>
        <v>5200</v>
      </c>
      <c r="Z320" s="99">
        <f t="shared" si="443"/>
        <v>5200</v>
      </c>
      <c r="AA320" s="99">
        <f t="shared" si="443"/>
        <v>5200</v>
      </c>
      <c r="AB320" s="99">
        <f t="shared" si="443"/>
        <v>5200</v>
      </c>
      <c r="AC320" s="99">
        <f t="shared" si="443"/>
        <v>5200</v>
      </c>
      <c r="AD320" s="99">
        <f t="shared" si="443"/>
        <v>5200</v>
      </c>
      <c r="AE320" s="100">
        <f t="shared" si="431"/>
        <v>62400</v>
      </c>
      <c r="AF320" s="100">
        <f t="shared" si="432"/>
        <v>64896.000000000007</v>
      </c>
      <c r="AG320" s="100">
        <f t="shared" si="432"/>
        <v>67491.840000000011</v>
      </c>
      <c r="AH320" s="100">
        <f t="shared" si="432"/>
        <v>70191.513600000006</v>
      </c>
      <c r="AI320" s="304" t="s">
        <v>321</v>
      </c>
    </row>
    <row r="321" spans="1:35">
      <c r="A321" s="96"/>
      <c r="B321" s="97" t="str">
        <f t="shared" si="433"/>
        <v>Admin</v>
      </c>
      <c r="C321" s="172"/>
      <c r="D321" s="172"/>
      <c r="E321" s="173">
        <v>25000</v>
      </c>
      <c r="F321" s="99">
        <f>F285*$E321/12*F$327</f>
        <v>0</v>
      </c>
      <c r="G321" s="99">
        <f t="shared" ref="G321:L321" si="444">G285*$E321/12*G$327</f>
        <v>0</v>
      </c>
      <c r="H321" s="99">
        <f t="shared" si="444"/>
        <v>0</v>
      </c>
      <c r="I321" s="99">
        <f t="shared" si="444"/>
        <v>0</v>
      </c>
      <c r="J321" s="99">
        <f t="shared" si="444"/>
        <v>0</v>
      </c>
      <c r="K321" s="99">
        <f t="shared" si="444"/>
        <v>0</v>
      </c>
      <c r="L321" s="99">
        <f t="shared" si="444"/>
        <v>0</v>
      </c>
      <c r="M321" s="99">
        <f>M285*$E321/12*M$327</f>
        <v>0</v>
      </c>
      <c r="N321" s="99">
        <f>N285*$E321/12*N$327</f>
        <v>0</v>
      </c>
      <c r="O321" s="99">
        <f>O285*$E321/12*O$327</f>
        <v>0</v>
      </c>
      <c r="P321" s="99">
        <f>P285*$E321/12*P$327</f>
        <v>0</v>
      </c>
      <c r="Q321" s="99">
        <f>Q285*$E321/12*Q$327</f>
        <v>0</v>
      </c>
      <c r="R321" s="100">
        <f t="shared" si="429"/>
        <v>0</v>
      </c>
      <c r="S321" s="99">
        <f>S285*$E321/12*S$327</f>
        <v>2166.666666666667</v>
      </c>
      <c r="T321" s="99">
        <f t="shared" ref="T321:AD321" si="445">T285*$E321/12*T$327</f>
        <v>2166.666666666667</v>
      </c>
      <c r="U321" s="99">
        <f t="shared" si="445"/>
        <v>2166.666666666667</v>
      </c>
      <c r="V321" s="99">
        <f t="shared" si="445"/>
        <v>2166.666666666667</v>
      </c>
      <c r="W321" s="99">
        <f t="shared" si="445"/>
        <v>2166.666666666667</v>
      </c>
      <c r="X321" s="99">
        <f t="shared" si="445"/>
        <v>2166.666666666667</v>
      </c>
      <c r="Y321" s="99">
        <f t="shared" si="445"/>
        <v>2166.666666666667</v>
      </c>
      <c r="Z321" s="99">
        <f t="shared" si="445"/>
        <v>2166.666666666667</v>
      </c>
      <c r="AA321" s="99">
        <f t="shared" si="445"/>
        <v>2166.666666666667</v>
      </c>
      <c r="AB321" s="99">
        <f t="shared" si="445"/>
        <v>2166.666666666667</v>
      </c>
      <c r="AC321" s="99">
        <f t="shared" si="445"/>
        <v>2166.666666666667</v>
      </c>
      <c r="AD321" s="99">
        <f t="shared" si="445"/>
        <v>2166.666666666667</v>
      </c>
      <c r="AE321" s="100">
        <f t="shared" si="431"/>
        <v>26000.000000000011</v>
      </c>
      <c r="AF321" s="100">
        <f t="shared" si="432"/>
        <v>27040.000000000004</v>
      </c>
      <c r="AG321" s="100">
        <f t="shared" si="432"/>
        <v>56243.200000000004</v>
      </c>
      <c r="AH321" s="100">
        <f t="shared" si="432"/>
        <v>58492.928000000007</v>
      </c>
      <c r="AI321" s="304" t="s">
        <v>321</v>
      </c>
    </row>
    <row r="322" spans="1:35">
      <c r="A322" s="96" t="s">
        <v>247</v>
      </c>
      <c r="B322" s="102"/>
      <c r="C322" s="86"/>
      <c r="D322" s="86"/>
      <c r="E322" s="86"/>
      <c r="F322" s="322">
        <f>SUM(F315:F321)</f>
        <v>0</v>
      </c>
      <c r="G322" s="110">
        <f>SUM(G315:G321)</f>
        <v>0</v>
      </c>
      <c r="H322" s="110">
        <f>SUM(H315:H321)</f>
        <v>0</v>
      </c>
      <c r="I322" s="110">
        <f>SUM(I315:I321)</f>
        <v>0</v>
      </c>
      <c r="J322" s="110">
        <f>SUM(J315:J321)</f>
        <v>0</v>
      </c>
      <c r="K322" s="103">
        <f t="shared" ref="K322:Q322" si="446">SUM(K315:K321)</f>
        <v>8750</v>
      </c>
      <c r="L322" s="103">
        <f t="shared" si="446"/>
        <v>8750</v>
      </c>
      <c r="M322" s="103">
        <f t="shared" si="446"/>
        <v>8750</v>
      </c>
      <c r="N322" s="103">
        <f t="shared" si="446"/>
        <v>8750</v>
      </c>
      <c r="O322" s="103">
        <f t="shared" si="446"/>
        <v>8750</v>
      </c>
      <c r="P322" s="103">
        <f t="shared" si="446"/>
        <v>8750</v>
      </c>
      <c r="Q322" s="103">
        <f t="shared" si="446"/>
        <v>8750</v>
      </c>
      <c r="R322" s="104">
        <f>SUM(F322:Q322)</f>
        <v>61250</v>
      </c>
      <c r="S322" s="103">
        <f t="shared" ref="S322:AD322" si="447">SUM(S315:S321)</f>
        <v>17766.666666666668</v>
      </c>
      <c r="T322" s="103">
        <f t="shared" si="447"/>
        <v>17766.666666666668</v>
      </c>
      <c r="U322" s="103">
        <f t="shared" si="447"/>
        <v>17766.666666666668</v>
      </c>
      <c r="V322" s="103">
        <f t="shared" si="447"/>
        <v>17766.666666666668</v>
      </c>
      <c r="W322" s="103">
        <f t="shared" si="447"/>
        <v>17766.666666666668</v>
      </c>
      <c r="X322" s="103">
        <f t="shared" si="447"/>
        <v>17766.666666666668</v>
      </c>
      <c r="Y322" s="103">
        <f t="shared" si="447"/>
        <v>17766.666666666668</v>
      </c>
      <c r="Z322" s="103">
        <f t="shared" si="447"/>
        <v>17766.666666666668</v>
      </c>
      <c r="AA322" s="103">
        <f t="shared" si="447"/>
        <v>17766.666666666668</v>
      </c>
      <c r="AB322" s="103">
        <f t="shared" si="447"/>
        <v>17766.666666666668</v>
      </c>
      <c r="AC322" s="103">
        <f t="shared" si="447"/>
        <v>17766.666666666668</v>
      </c>
      <c r="AD322" s="103">
        <f t="shared" si="447"/>
        <v>17766.666666666668</v>
      </c>
      <c r="AE322" s="104">
        <f>SUM(S322:AD322)</f>
        <v>213199.99999999997</v>
      </c>
      <c r="AF322" s="104">
        <f>SUM(AF315:AF321)</f>
        <v>221728.00000000003</v>
      </c>
      <c r="AG322" s="104">
        <f>SUM(AG315:AG321)</f>
        <v>258718.72000000003</v>
      </c>
      <c r="AH322" s="104">
        <f>SUM(AH315:AH321)</f>
        <v>269067.46880000003</v>
      </c>
      <c r="AI322" s="304" t="s">
        <v>321</v>
      </c>
    </row>
    <row r="323" spans="1:35">
      <c r="A323" s="96"/>
      <c r="B323" s="97"/>
      <c r="C323" s="171"/>
      <c r="D323" s="171"/>
      <c r="E323" s="171"/>
      <c r="F323" s="99"/>
      <c r="G323" s="99"/>
      <c r="H323" s="99"/>
      <c r="I323" s="99"/>
      <c r="J323" s="99"/>
      <c r="K323" s="99"/>
      <c r="L323" s="99"/>
      <c r="M323" s="99"/>
      <c r="N323" s="99"/>
      <c r="O323" s="99"/>
      <c r="P323" s="99"/>
      <c r="Q323" s="99"/>
      <c r="R323" s="100"/>
      <c r="S323" s="99"/>
      <c r="T323" s="99"/>
      <c r="U323" s="99"/>
      <c r="V323" s="99"/>
      <c r="W323" s="99"/>
      <c r="X323" s="99"/>
      <c r="Y323" s="99"/>
      <c r="Z323" s="99"/>
      <c r="AA323" s="99"/>
      <c r="AB323" s="99"/>
      <c r="AC323" s="99"/>
      <c r="AD323" s="99"/>
      <c r="AE323" s="100"/>
      <c r="AF323" s="100"/>
      <c r="AG323" s="100"/>
      <c r="AH323" s="100"/>
      <c r="AI323" s="304" t="s">
        <v>321</v>
      </c>
    </row>
    <row r="324" spans="1:35">
      <c r="A324" s="83" t="s">
        <v>248</v>
      </c>
      <c r="B324" s="102"/>
      <c r="C324" s="86"/>
      <c r="D324" s="86"/>
      <c r="E324" s="86"/>
      <c r="F324" s="319">
        <f>F303+F312+F322</f>
        <v>0</v>
      </c>
      <c r="G324" s="103">
        <f t="shared" ref="G324:Q324" si="448">G303+G312+G322</f>
        <v>0</v>
      </c>
      <c r="H324" s="103">
        <f t="shared" si="448"/>
        <v>0</v>
      </c>
      <c r="I324" s="103">
        <f t="shared" si="448"/>
        <v>0</v>
      </c>
      <c r="J324" s="103">
        <f t="shared" si="448"/>
        <v>0</v>
      </c>
      <c r="K324" s="103">
        <f t="shared" si="448"/>
        <v>13750</v>
      </c>
      <c r="L324" s="103">
        <f t="shared" si="448"/>
        <v>13750</v>
      </c>
      <c r="M324" s="103">
        <f t="shared" si="448"/>
        <v>13750</v>
      </c>
      <c r="N324" s="103">
        <f t="shared" si="448"/>
        <v>13750</v>
      </c>
      <c r="O324" s="103">
        <f t="shared" si="448"/>
        <v>13750</v>
      </c>
      <c r="P324" s="103">
        <f t="shared" si="448"/>
        <v>13750</v>
      </c>
      <c r="Q324" s="103">
        <f t="shared" si="448"/>
        <v>13750</v>
      </c>
      <c r="R324" s="104">
        <f>SUM(F324:Q324)</f>
        <v>96250</v>
      </c>
      <c r="S324" s="103">
        <f>S303+S312+S322</f>
        <v>32500</v>
      </c>
      <c r="T324" s="103">
        <f t="shared" ref="T324:AD324" si="449">T303+T312+T322</f>
        <v>36833.333333333336</v>
      </c>
      <c r="U324" s="103">
        <f t="shared" si="449"/>
        <v>41166.666666666672</v>
      </c>
      <c r="V324" s="103">
        <f t="shared" si="449"/>
        <v>41166.666666666672</v>
      </c>
      <c r="W324" s="103">
        <f t="shared" si="449"/>
        <v>41166.666666666672</v>
      </c>
      <c r="X324" s="103">
        <f t="shared" si="449"/>
        <v>41166.666666666672</v>
      </c>
      <c r="Y324" s="103">
        <f t="shared" si="449"/>
        <v>41166.666666666672</v>
      </c>
      <c r="Z324" s="103">
        <f t="shared" si="449"/>
        <v>41166.666666666672</v>
      </c>
      <c r="AA324" s="103">
        <f t="shared" si="449"/>
        <v>41166.666666666672</v>
      </c>
      <c r="AB324" s="103">
        <f t="shared" si="449"/>
        <v>41166.666666666672</v>
      </c>
      <c r="AC324" s="103">
        <f t="shared" si="449"/>
        <v>41166.666666666672</v>
      </c>
      <c r="AD324" s="103">
        <f t="shared" si="449"/>
        <v>41166.666666666672</v>
      </c>
      <c r="AE324" s="104">
        <f>SUM(S324:AD324)</f>
        <v>481000.00000000017</v>
      </c>
      <c r="AF324" s="104">
        <f>AF303+AF312+AF322</f>
        <v>686816.00000000012</v>
      </c>
      <c r="AG324" s="104">
        <f>AG303+AG312+AG322</f>
        <v>1057372.1600000001</v>
      </c>
      <c r="AH324" s="104">
        <f>AH303+AH312+AH322</f>
        <v>1216652.9024</v>
      </c>
      <c r="AI324" s="304" t="s">
        <v>321</v>
      </c>
    </row>
    <row r="325" spans="1:35">
      <c r="A325" s="96"/>
      <c r="B325" s="97"/>
      <c r="C325" s="171"/>
      <c r="D325" s="171"/>
      <c r="E325" s="171"/>
      <c r="F325" s="99"/>
      <c r="G325" s="99"/>
      <c r="H325" s="99"/>
      <c r="I325" s="99"/>
      <c r="J325" s="99"/>
      <c r="K325" s="99"/>
      <c r="L325" s="99"/>
      <c r="M325" s="99"/>
      <c r="N325" s="99"/>
      <c r="O325" s="99"/>
      <c r="P325" s="99"/>
      <c r="Q325" s="99"/>
      <c r="R325" s="100"/>
      <c r="S325" s="99"/>
      <c r="T325" s="99"/>
      <c r="U325" s="99"/>
      <c r="V325" s="99"/>
      <c r="W325" s="99"/>
      <c r="X325" s="99"/>
      <c r="Y325" s="99"/>
      <c r="Z325" s="99"/>
      <c r="AA325" s="99"/>
      <c r="AB325" s="99"/>
      <c r="AC325" s="99"/>
      <c r="AD325" s="99"/>
      <c r="AE325" s="100"/>
      <c r="AF325" s="100"/>
      <c r="AG325" s="100"/>
      <c r="AH325" s="100"/>
      <c r="AI325" s="304" t="s">
        <v>321</v>
      </c>
    </row>
    <row r="326" spans="1:35">
      <c r="A326" s="96"/>
      <c r="B326" s="97" t="s">
        <v>249</v>
      </c>
      <c r="C326" s="176">
        <f>Assumptions!I80</f>
        <v>0.25</v>
      </c>
      <c r="D326" s="177"/>
      <c r="E326" s="177"/>
      <c r="F326" s="122">
        <f>$C$326</f>
        <v>0.25</v>
      </c>
      <c r="G326" s="122">
        <f t="shared" ref="G326:R326" si="450">F326</f>
        <v>0.25</v>
      </c>
      <c r="H326" s="122">
        <f t="shared" si="450"/>
        <v>0.25</v>
      </c>
      <c r="I326" s="122">
        <f t="shared" si="450"/>
        <v>0.25</v>
      </c>
      <c r="J326" s="122">
        <f t="shared" si="450"/>
        <v>0.25</v>
      </c>
      <c r="K326" s="122">
        <f t="shared" si="450"/>
        <v>0.25</v>
      </c>
      <c r="L326" s="122">
        <f t="shared" si="450"/>
        <v>0.25</v>
      </c>
      <c r="M326" s="122">
        <f t="shared" si="450"/>
        <v>0.25</v>
      </c>
      <c r="N326" s="122">
        <f t="shared" si="450"/>
        <v>0.25</v>
      </c>
      <c r="O326" s="122">
        <f t="shared" si="450"/>
        <v>0.25</v>
      </c>
      <c r="P326" s="122">
        <f t="shared" si="450"/>
        <v>0.25</v>
      </c>
      <c r="Q326" s="122">
        <f t="shared" si="450"/>
        <v>0.25</v>
      </c>
      <c r="R326" s="126">
        <f t="shared" si="450"/>
        <v>0.25</v>
      </c>
      <c r="S326" s="122">
        <f>Q326</f>
        <v>0.25</v>
      </c>
      <c r="T326" s="122">
        <f t="shared" ref="T326:AH326" si="451">S326</f>
        <v>0.25</v>
      </c>
      <c r="U326" s="122">
        <f t="shared" si="451"/>
        <v>0.25</v>
      </c>
      <c r="V326" s="122">
        <f t="shared" si="451"/>
        <v>0.25</v>
      </c>
      <c r="W326" s="122">
        <f t="shared" si="451"/>
        <v>0.25</v>
      </c>
      <c r="X326" s="122">
        <f t="shared" si="451"/>
        <v>0.25</v>
      </c>
      <c r="Y326" s="122">
        <f t="shared" si="451"/>
        <v>0.25</v>
      </c>
      <c r="Z326" s="122">
        <f t="shared" si="451"/>
        <v>0.25</v>
      </c>
      <c r="AA326" s="122">
        <f t="shared" si="451"/>
        <v>0.25</v>
      </c>
      <c r="AB326" s="122">
        <f t="shared" si="451"/>
        <v>0.25</v>
      </c>
      <c r="AC326" s="122">
        <f t="shared" si="451"/>
        <v>0.25</v>
      </c>
      <c r="AD326" s="122">
        <f t="shared" si="451"/>
        <v>0.25</v>
      </c>
      <c r="AE326" s="126">
        <f t="shared" si="451"/>
        <v>0.25</v>
      </c>
      <c r="AF326" s="123">
        <f t="shared" si="451"/>
        <v>0.25</v>
      </c>
      <c r="AG326" s="123">
        <f t="shared" si="451"/>
        <v>0.25</v>
      </c>
      <c r="AH326" s="123">
        <f t="shared" si="451"/>
        <v>0.25</v>
      </c>
      <c r="AI326" s="304" t="s">
        <v>321</v>
      </c>
    </row>
    <row r="327" spans="1:35" ht="8.25" thickBot="1">
      <c r="A327" s="96"/>
      <c r="B327" s="97" t="s">
        <v>250</v>
      </c>
      <c r="C327" s="178">
        <f>Assumptions!I81</f>
        <v>0.04</v>
      </c>
      <c r="D327" s="179"/>
      <c r="E327" s="179"/>
      <c r="F327" s="161">
        <v>1</v>
      </c>
      <c r="G327" s="161">
        <f t="shared" ref="G327:R327" si="452">F327</f>
        <v>1</v>
      </c>
      <c r="H327" s="161">
        <f t="shared" si="452"/>
        <v>1</v>
      </c>
      <c r="I327" s="161">
        <f t="shared" si="452"/>
        <v>1</v>
      </c>
      <c r="J327" s="161">
        <f t="shared" si="452"/>
        <v>1</v>
      </c>
      <c r="K327" s="161">
        <f t="shared" si="452"/>
        <v>1</v>
      </c>
      <c r="L327" s="161">
        <f t="shared" si="452"/>
        <v>1</v>
      </c>
      <c r="M327" s="161">
        <f t="shared" si="452"/>
        <v>1</v>
      </c>
      <c r="N327" s="161">
        <f t="shared" si="452"/>
        <v>1</v>
      </c>
      <c r="O327" s="161">
        <f t="shared" si="452"/>
        <v>1</v>
      </c>
      <c r="P327" s="161">
        <f t="shared" si="452"/>
        <v>1</v>
      </c>
      <c r="Q327" s="161">
        <f t="shared" si="452"/>
        <v>1</v>
      </c>
      <c r="R327" s="180">
        <f t="shared" si="452"/>
        <v>1</v>
      </c>
      <c r="S327" s="161">
        <f>R327*(1+$C$327)</f>
        <v>1.04</v>
      </c>
      <c r="T327" s="161">
        <f t="shared" ref="T327:AE327" si="453">S327</f>
        <v>1.04</v>
      </c>
      <c r="U327" s="161">
        <f t="shared" si="453"/>
        <v>1.04</v>
      </c>
      <c r="V327" s="161">
        <f t="shared" si="453"/>
        <v>1.04</v>
      </c>
      <c r="W327" s="161">
        <f t="shared" si="453"/>
        <v>1.04</v>
      </c>
      <c r="X327" s="161">
        <f t="shared" si="453"/>
        <v>1.04</v>
      </c>
      <c r="Y327" s="161">
        <f t="shared" si="453"/>
        <v>1.04</v>
      </c>
      <c r="Z327" s="161">
        <f t="shared" si="453"/>
        <v>1.04</v>
      </c>
      <c r="AA327" s="161">
        <f t="shared" si="453"/>
        <v>1.04</v>
      </c>
      <c r="AB327" s="161">
        <f t="shared" si="453"/>
        <v>1.04</v>
      </c>
      <c r="AC327" s="161">
        <f t="shared" si="453"/>
        <v>1.04</v>
      </c>
      <c r="AD327" s="161">
        <f t="shared" si="453"/>
        <v>1.04</v>
      </c>
      <c r="AE327" s="180">
        <f t="shared" si="453"/>
        <v>1.04</v>
      </c>
      <c r="AF327" s="162">
        <f>AE327*(1+$C$327)</f>
        <v>1.0816000000000001</v>
      </c>
      <c r="AG327" s="162">
        <f>AF327*(1+$C$327)</f>
        <v>1.1248640000000001</v>
      </c>
      <c r="AH327" s="162">
        <f>AG327*(1+$C$327)</f>
        <v>1.1698585600000002</v>
      </c>
      <c r="AI327" s="304" t="s">
        <v>321</v>
      </c>
    </row>
    <row r="328" spans="1:35" s="65" customFormat="1" ht="8.25" thickTop="1">
      <c r="A328" s="73" t="s">
        <v>251</v>
      </c>
      <c r="B328" s="74"/>
      <c r="C328" s="75"/>
      <c r="D328" s="75"/>
      <c r="E328" s="75"/>
      <c r="F328" s="75"/>
      <c r="G328" s="75"/>
      <c r="H328" s="75"/>
      <c r="I328" s="75"/>
      <c r="J328" s="75"/>
      <c r="K328" s="75"/>
      <c r="L328" s="75"/>
      <c r="M328" s="75"/>
      <c r="N328" s="75"/>
      <c r="O328" s="75"/>
      <c r="P328" s="75"/>
      <c r="Q328" s="75"/>
      <c r="R328" s="181"/>
      <c r="S328" s="75"/>
      <c r="T328" s="75"/>
      <c r="U328" s="75"/>
      <c r="V328" s="75"/>
      <c r="W328" s="75"/>
      <c r="X328" s="75"/>
      <c r="Y328" s="75"/>
      <c r="Z328" s="75"/>
      <c r="AA328" s="75"/>
      <c r="AB328" s="75"/>
      <c r="AC328" s="75"/>
      <c r="AD328" s="75"/>
      <c r="AE328" s="181"/>
      <c r="AF328" s="181"/>
      <c r="AG328" s="181"/>
      <c r="AH328" s="181"/>
      <c r="AI328" s="304" t="s">
        <v>321</v>
      </c>
    </row>
    <row r="329" spans="1:35" s="65" customFormat="1" ht="8.25" thickBot="1">
      <c r="A329" s="78" t="str">
        <f>$A$1</f>
        <v>PEP STRAW</v>
      </c>
      <c r="B329" s="79"/>
      <c r="C329" s="80"/>
      <c r="D329" s="80"/>
      <c r="E329" s="80"/>
      <c r="F329" s="80"/>
      <c r="G329" s="80"/>
      <c r="H329" s="80"/>
      <c r="I329" s="80"/>
      <c r="J329" s="80"/>
      <c r="K329" s="80"/>
      <c r="L329" s="80"/>
      <c r="M329" s="80"/>
      <c r="N329" s="80"/>
      <c r="O329" s="80"/>
      <c r="P329" s="80"/>
      <c r="Q329" s="80"/>
      <c r="R329" s="182"/>
      <c r="S329" s="80"/>
      <c r="T329" s="80"/>
      <c r="U329" s="80"/>
      <c r="V329" s="80"/>
      <c r="W329" s="80"/>
      <c r="X329" s="80"/>
      <c r="Y329" s="80"/>
      <c r="Z329" s="80"/>
      <c r="AA329" s="80"/>
      <c r="AB329" s="80"/>
      <c r="AC329" s="80"/>
      <c r="AD329" s="80"/>
      <c r="AE329" s="182"/>
      <c r="AF329" s="182"/>
      <c r="AG329" s="182"/>
      <c r="AH329" s="182"/>
      <c r="AI329" s="304" t="s">
        <v>321</v>
      </c>
    </row>
    <row r="330" spans="1:35" ht="8.25" thickTop="1">
      <c r="A330" s="83"/>
      <c r="B330" s="84">
        <f ca="1">NOW()</f>
        <v>44371.35163020833</v>
      </c>
      <c r="C330" s="91"/>
      <c r="D330" s="91"/>
      <c r="E330" s="91"/>
      <c r="F330" s="86" t="str">
        <f t="shared" ref="F330:Q330" si="454">F$8</f>
        <v>Month 1</v>
      </c>
      <c r="G330" s="86" t="str">
        <f t="shared" si="454"/>
        <v>Month 2</v>
      </c>
      <c r="H330" s="86" t="str">
        <f t="shared" si="454"/>
        <v>Month 3</v>
      </c>
      <c r="I330" s="86" t="str">
        <f t="shared" si="454"/>
        <v>Month 4</v>
      </c>
      <c r="J330" s="86" t="str">
        <f t="shared" si="454"/>
        <v>Month 5</v>
      </c>
      <c r="K330" s="86" t="str">
        <f t="shared" si="454"/>
        <v>Month 6</v>
      </c>
      <c r="L330" s="86" t="str">
        <f t="shared" si="454"/>
        <v>Month 7</v>
      </c>
      <c r="M330" s="86" t="str">
        <f t="shared" si="454"/>
        <v>Month 8</v>
      </c>
      <c r="N330" s="86" t="str">
        <f t="shared" si="454"/>
        <v>Month 9</v>
      </c>
      <c r="O330" s="86" t="str">
        <f t="shared" si="454"/>
        <v>Month 10</v>
      </c>
      <c r="P330" s="86" t="str">
        <f t="shared" si="454"/>
        <v>Month 11</v>
      </c>
      <c r="Q330" s="86" t="str">
        <f t="shared" si="454"/>
        <v>Month 12</v>
      </c>
      <c r="R330" s="87" t="s">
        <v>127</v>
      </c>
      <c r="S330" s="86" t="str">
        <f t="shared" ref="S330:AD330" si="455">S$8</f>
        <v>Month 13</v>
      </c>
      <c r="T330" s="86" t="str">
        <f t="shared" si="455"/>
        <v>Month 14</v>
      </c>
      <c r="U330" s="86" t="str">
        <f t="shared" si="455"/>
        <v>Month 15</v>
      </c>
      <c r="V330" s="86" t="str">
        <f t="shared" si="455"/>
        <v>Month 16</v>
      </c>
      <c r="W330" s="86" t="str">
        <f t="shared" si="455"/>
        <v>Month 17</v>
      </c>
      <c r="X330" s="86" t="str">
        <f t="shared" si="455"/>
        <v>Month 18</v>
      </c>
      <c r="Y330" s="86" t="str">
        <f t="shared" si="455"/>
        <v>Month 19</v>
      </c>
      <c r="Z330" s="86" t="str">
        <f t="shared" si="455"/>
        <v>Month 20</v>
      </c>
      <c r="AA330" s="86" t="str">
        <f t="shared" si="455"/>
        <v>Month 21</v>
      </c>
      <c r="AB330" s="86" t="str">
        <f t="shared" si="455"/>
        <v>Month 22</v>
      </c>
      <c r="AC330" s="86" t="str">
        <f t="shared" si="455"/>
        <v>Month 23</v>
      </c>
      <c r="AD330" s="86" t="str">
        <f t="shared" si="455"/>
        <v>Month 24</v>
      </c>
      <c r="AE330" s="87" t="s">
        <v>127</v>
      </c>
      <c r="AF330" s="87" t="str">
        <f>AF$8</f>
        <v>Total</v>
      </c>
      <c r="AG330" s="87" t="str">
        <f>AG$8</f>
        <v>Total</v>
      </c>
      <c r="AH330" s="87" t="str">
        <f>AH$8</f>
        <v>Total</v>
      </c>
      <c r="AI330" s="304" t="s">
        <v>321</v>
      </c>
    </row>
    <row r="331" spans="1:35">
      <c r="A331" s="89"/>
      <c r="B331" s="90">
        <f ca="1">NOW()</f>
        <v>44371.35163020833</v>
      </c>
      <c r="C331" s="91"/>
      <c r="D331" s="91"/>
      <c r="E331" s="91"/>
      <c r="F331" s="92">
        <f t="shared" ref="F331:AH331" si="456">F$1</f>
        <v>43466</v>
      </c>
      <c r="G331" s="92">
        <f t="shared" si="456"/>
        <v>43497</v>
      </c>
      <c r="H331" s="92">
        <f t="shared" si="456"/>
        <v>43528</v>
      </c>
      <c r="I331" s="92">
        <f t="shared" si="456"/>
        <v>43559</v>
      </c>
      <c r="J331" s="92">
        <f t="shared" si="456"/>
        <v>43590</v>
      </c>
      <c r="K331" s="92">
        <f t="shared" si="456"/>
        <v>43621</v>
      </c>
      <c r="L331" s="92">
        <f t="shared" si="456"/>
        <v>43652</v>
      </c>
      <c r="M331" s="92">
        <f t="shared" si="456"/>
        <v>43683</v>
      </c>
      <c r="N331" s="92">
        <f t="shared" si="456"/>
        <v>43714</v>
      </c>
      <c r="O331" s="92">
        <f t="shared" si="456"/>
        <v>43745</v>
      </c>
      <c r="P331" s="92">
        <f t="shared" si="456"/>
        <v>43776</v>
      </c>
      <c r="Q331" s="92">
        <f t="shared" si="456"/>
        <v>43807</v>
      </c>
      <c r="R331" s="93">
        <f t="shared" si="456"/>
        <v>43807</v>
      </c>
      <c r="S331" s="92">
        <f t="shared" si="456"/>
        <v>43838</v>
      </c>
      <c r="T331" s="92">
        <f t="shared" si="456"/>
        <v>43869</v>
      </c>
      <c r="U331" s="92">
        <f t="shared" si="456"/>
        <v>43900</v>
      </c>
      <c r="V331" s="92">
        <f t="shared" si="456"/>
        <v>43931</v>
      </c>
      <c r="W331" s="92">
        <f t="shared" si="456"/>
        <v>43962</v>
      </c>
      <c r="X331" s="92">
        <f t="shared" si="456"/>
        <v>43993</v>
      </c>
      <c r="Y331" s="92">
        <f t="shared" si="456"/>
        <v>44024</v>
      </c>
      <c r="Z331" s="92">
        <f t="shared" si="456"/>
        <v>44055</v>
      </c>
      <c r="AA331" s="92">
        <f t="shared" si="456"/>
        <v>44086</v>
      </c>
      <c r="AB331" s="92">
        <f t="shared" si="456"/>
        <v>44117</v>
      </c>
      <c r="AC331" s="92">
        <f t="shared" si="456"/>
        <v>44148</v>
      </c>
      <c r="AD331" s="92">
        <f t="shared" si="456"/>
        <v>44179</v>
      </c>
      <c r="AE331" s="93">
        <f t="shared" si="456"/>
        <v>44179</v>
      </c>
      <c r="AF331" s="93">
        <f t="shared" si="456"/>
        <v>44544</v>
      </c>
      <c r="AG331" s="93">
        <f t="shared" si="456"/>
        <v>44909</v>
      </c>
      <c r="AH331" s="93">
        <f t="shared" si="456"/>
        <v>45274</v>
      </c>
      <c r="AI331" s="304" t="s">
        <v>321</v>
      </c>
    </row>
    <row r="332" spans="1:35">
      <c r="A332" s="89"/>
      <c r="B332" s="90"/>
      <c r="C332" s="91"/>
      <c r="D332" s="91"/>
      <c r="E332" s="91"/>
      <c r="F332" s="92"/>
      <c r="G332" s="92"/>
      <c r="H332" s="92"/>
      <c r="I332" s="92"/>
      <c r="J332" s="92"/>
      <c r="K332" s="92"/>
      <c r="L332" s="92"/>
      <c r="M332" s="92"/>
      <c r="N332" s="92"/>
      <c r="O332" s="92"/>
      <c r="P332" s="92"/>
      <c r="Q332" s="92"/>
      <c r="R332" s="93"/>
      <c r="S332" s="92"/>
      <c r="T332" s="92"/>
      <c r="U332" s="92"/>
      <c r="V332" s="92"/>
      <c r="W332" s="92"/>
      <c r="X332" s="92"/>
      <c r="Y332" s="92"/>
      <c r="Z332" s="92"/>
      <c r="AA332" s="92"/>
      <c r="AB332" s="92"/>
      <c r="AC332" s="92"/>
      <c r="AD332" s="92"/>
      <c r="AE332" s="93"/>
      <c r="AF332" s="93"/>
      <c r="AG332" s="93"/>
      <c r="AH332" s="93"/>
      <c r="AI332" s="304" t="s">
        <v>321</v>
      </c>
    </row>
    <row r="333" spans="1:35">
      <c r="A333" s="96" t="str">
        <f>UPPER($A$259)</f>
        <v>ENGINEERING</v>
      </c>
      <c r="B333" s="97"/>
      <c r="C333" s="183"/>
      <c r="D333" s="91"/>
      <c r="E333" s="183" t="s">
        <v>252</v>
      </c>
      <c r="F333" s="99"/>
      <c r="G333" s="99"/>
      <c r="H333" s="99"/>
      <c r="I333" s="99"/>
      <c r="J333" s="99"/>
      <c r="K333" s="99"/>
      <c r="L333" s="99"/>
      <c r="M333" s="99"/>
      <c r="N333" s="99"/>
      <c r="O333" s="99"/>
      <c r="P333" s="99"/>
      <c r="Q333" s="99"/>
      <c r="R333" s="100"/>
      <c r="S333" s="99"/>
      <c r="T333" s="99"/>
      <c r="U333" s="99"/>
      <c r="V333" s="99"/>
      <c r="W333" s="99"/>
      <c r="X333" s="99"/>
      <c r="Y333" s="99"/>
      <c r="Z333" s="99"/>
      <c r="AA333" s="99"/>
      <c r="AB333" s="99"/>
      <c r="AC333" s="99"/>
      <c r="AD333" s="99"/>
      <c r="AE333" s="100"/>
      <c r="AF333" s="100"/>
      <c r="AG333" s="100"/>
      <c r="AH333" s="100"/>
      <c r="AI333" s="304" t="s">
        <v>321</v>
      </c>
    </row>
    <row r="334" spans="1:35">
      <c r="A334" s="96"/>
      <c r="B334" s="97" t="s">
        <v>217</v>
      </c>
      <c r="C334" s="119">
        <f>Assumptions!E75</f>
        <v>500</v>
      </c>
      <c r="D334" s="91"/>
      <c r="E334" s="184" t="s">
        <v>253</v>
      </c>
      <c r="F334" s="99">
        <f t="shared" ref="F334:Q336" si="457">$C334*(F$267-E$267)</f>
        <v>0</v>
      </c>
      <c r="G334" s="99">
        <f>$C334*(G$267-F$267)</f>
        <v>0</v>
      </c>
      <c r="H334" s="99">
        <f t="shared" si="457"/>
        <v>0</v>
      </c>
      <c r="I334" s="99">
        <f t="shared" si="457"/>
        <v>0</v>
      </c>
      <c r="J334" s="99">
        <f t="shared" si="457"/>
        <v>0</v>
      </c>
      <c r="K334" s="99">
        <f t="shared" si="457"/>
        <v>250</v>
      </c>
      <c r="L334" s="99">
        <f t="shared" si="457"/>
        <v>0</v>
      </c>
      <c r="M334" s="99">
        <f t="shared" si="457"/>
        <v>0</v>
      </c>
      <c r="N334" s="99">
        <f t="shared" si="457"/>
        <v>0</v>
      </c>
      <c r="O334" s="99">
        <f t="shared" si="457"/>
        <v>0</v>
      </c>
      <c r="P334" s="99">
        <f t="shared" si="457"/>
        <v>0</v>
      </c>
      <c r="Q334" s="99">
        <f t="shared" si="457"/>
        <v>0</v>
      </c>
      <c r="R334" s="100">
        <f>SUM(F334:Q334)</f>
        <v>250</v>
      </c>
      <c r="S334" s="99">
        <f t="shared" ref="S334:AD336" si="458">$C334*(S$267-R$267)</f>
        <v>250</v>
      </c>
      <c r="T334" s="99">
        <f t="shared" si="458"/>
        <v>0</v>
      </c>
      <c r="U334" s="99">
        <f t="shared" si="458"/>
        <v>0</v>
      </c>
      <c r="V334" s="99">
        <f t="shared" si="458"/>
        <v>0</v>
      </c>
      <c r="W334" s="99">
        <f t="shared" si="458"/>
        <v>0</v>
      </c>
      <c r="X334" s="99">
        <f t="shared" si="458"/>
        <v>0</v>
      </c>
      <c r="Y334" s="99">
        <f t="shared" si="458"/>
        <v>0</v>
      </c>
      <c r="Z334" s="99">
        <f t="shared" si="458"/>
        <v>0</v>
      </c>
      <c r="AA334" s="99">
        <f t="shared" si="458"/>
        <v>0</v>
      </c>
      <c r="AB334" s="99">
        <f t="shared" si="458"/>
        <v>0</v>
      </c>
      <c r="AC334" s="99">
        <f t="shared" si="458"/>
        <v>0</v>
      </c>
      <c r="AD334" s="99">
        <f t="shared" si="458"/>
        <v>0</v>
      </c>
      <c r="AE334" s="100">
        <f>SUM(S334:AD334)</f>
        <v>250</v>
      </c>
      <c r="AF334" s="100">
        <f t="shared" ref="AF334:AH336" si="459">$C334*(AF$267-AE$267)</f>
        <v>500</v>
      </c>
      <c r="AG334" s="100">
        <f t="shared" si="459"/>
        <v>1000</v>
      </c>
      <c r="AH334" s="100">
        <f t="shared" si="459"/>
        <v>0</v>
      </c>
      <c r="AI334" s="304" t="s">
        <v>321</v>
      </c>
    </row>
    <row r="335" spans="1:35">
      <c r="A335" s="96"/>
      <c r="B335" s="97" t="s">
        <v>218</v>
      </c>
      <c r="C335" s="119">
        <f>Assumptions!F75</f>
        <v>200</v>
      </c>
      <c r="D335" s="91"/>
      <c r="E335" s="184" t="s">
        <v>253</v>
      </c>
      <c r="F335" s="99">
        <f t="shared" si="457"/>
        <v>0</v>
      </c>
      <c r="G335" s="99">
        <f t="shared" si="457"/>
        <v>0</v>
      </c>
      <c r="H335" s="99">
        <f t="shared" si="457"/>
        <v>0</v>
      </c>
      <c r="I335" s="99">
        <f t="shared" si="457"/>
        <v>0</v>
      </c>
      <c r="J335" s="99">
        <f t="shared" si="457"/>
        <v>0</v>
      </c>
      <c r="K335" s="99">
        <f t="shared" si="457"/>
        <v>100</v>
      </c>
      <c r="L335" s="99">
        <f t="shared" si="457"/>
        <v>0</v>
      </c>
      <c r="M335" s="99">
        <f t="shared" si="457"/>
        <v>0</v>
      </c>
      <c r="N335" s="99">
        <f t="shared" si="457"/>
        <v>0</v>
      </c>
      <c r="O335" s="99">
        <f t="shared" si="457"/>
        <v>0</v>
      </c>
      <c r="P335" s="99">
        <f t="shared" si="457"/>
        <v>0</v>
      </c>
      <c r="Q335" s="99">
        <f t="shared" si="457"/>
        <v>0</v>
      </c>
      <c r="R335" s="100">
        <f>SUM(F335:Q335)</f>
        <v>100</v>
      </c>
      <c r="S335" s="99">
        <f t="shared" si="458"/>
        <v>100</v>
      </c>
      <c r="T335" s="99">
        <f t="shared" si="458"/>
        <v>0</v>
      </c>
      <c r="U335" s="99">
        <f t="shared" si="458"/>
        <v>0</v>
      </c>
      <c r="V335" s="99">
        <f t="shared" si="458"/>
        <v>0</v>
      </c>
      <c r="W335" s="99">
        <f t="shared" si="458"/>
        <v>0</v>
      </c>
      <c r="X335" s="99">
        <f t="shared" si="458"/>
        <v>0</v>
      </c>
      <c r="Y335" s="99">
        <f t="shared" si="458"/>
        <v>0</v>
      </c>
      <c r="Z335" s="99">
        <f t="shared" si="458"/>
        <v>0</v>
      </c>
      <c r="AA335" s="99">
        <f t="shared" si="458"/>
        <v>0</v>
      </c>
      <c r="AB335" s="99">
        <f t="shared" si="458"/>
        <v>0</v>
      </c>
      <c r="AC335" s="99">
        <f t="shared" si="458"/>
        <v>0</v>
      </c>
      <c r="AD335" s="99">
        <f t="shared" si="458"/>
        <v>0</v>
      </c>
      <c r="AE335" s="100">
        <f>SUM(S335:AD335)</f>
        <v>100</v>
      </c>
      <c r="AF335" s="100">
        <f t="shared" si="459"/>
        <v>200</v>
      </c>
      <c r="AG335" s="100">
        <f t="shared" si="459"/>
        <v>400</v>
      </c>
      <c r="AH335" s="100">
        <f t="shared" si="459"/>
        <v>0</v>
      </c>
      <c r="AI335" s="304" t="s">
        <v>321</v>
      </c>
    </row>
    <row r="336" spans="1:35">
      <c r="A336" s="96"/>
      <c r="B336" s="97" t="s">
        <v>219</v>
      </c>
      <c r="C336" s="119">
        <f>Assumptions!G75</f>
        <v>250</v>
      </c>
      <c r="D336" s="91"/>
      <c r="E336" s="184" t="s">
        <v>253</v>
      </c>
      <c r="F336" s="99">
        <f t="shared" si="457"/>
        <v>0</v>
      </c>
      <c r="G336" s="99">
        <f t="shared" si="457"/>
        <v>0</v>
      </c>
      <c r="H336" s="99">
        <f t="shared" si="457"/>
        <v>0</v>
      </c>
      <c r="I336" s="99">
        <f t="shared" si="457"/>
        <v>0</v>
      </c>
      <c r="J336" s="99">
        <f t="shared" si="457"/>
        <v>0</v>
      </c>
      <c r="K336" s="99">
        <f t="shared" si="457"/>
        <v>125</v>
      </c>
      <c r="L336" s="99">
        <f t="shared" si="457"/>
        <v>0</v>
      </c>
      <c r="M336" s="99">
        <f t="shared" si="457"/>
        <v>0</v>
      </c>
      <c r="N336" s="99">
        <f t="shared" si="457"/>
        <v>0</v>
      </c>
      <c r="O336" s="99">
        <f t="shared" si="457"/>
        <v>0</v>
      </c>
      <c r="P336" s="99">
        <f t="shared" si="457"/>
        <v>0</v>
      </c>
      <c r="Q336" s="99">
        <f t="shared" si="457"/>
        <v>0</v>
      </c>
      <c r="R336" s="100">
        <f>SUM(F336:Q336)</f>
        <v>125</v>
      </c>
      <c r="S336" s="99">
        <f t="shared" si="458"/>
        <v>125</v>
      </c>
      <c r="T336" s="99">
        <f t="shared" si="458"/>
        <v>0</v>
      </c>
      <c r="U336" s="99">
        <f t="shared" si="458"/>
        <v>0</v>
      </c>
      <c r="V336" s="99">
        <f t="shared" si="458"/>
        <v>0</v>
      </c>
      <c r="W336" s="99">
        <f t="shared" si="458"/>
        <v>0</v>
      </c>
      <c r="X336" s="99">
        <f t="shared" si="458"/>
        <v>0</v>
      </c>
      <c r="Y336" s="99">
        <f t="shared" si="458"/>
        <v>0</v>
      </c>
      <c r="Z336" s="99">
        <f t="shared" si="458"/>
        <v>0</v>
      </c>
      <c r="AA336" s="99">
        <f t="shared" si="458"/>
        <v>0</v>
      </c>
      <c r="AB336" s="99">
        <f t="shared" si="458"/>
        <v>0</v>
      </c>
      <c r="AC336" s="99">
        <f t="shared" si="458"/>
        <v>0</v>
      </c>
      <c r="AD336" s="99">
        <f t="shared" si="458"/>
        <v>0</v>
      </c>
      <c r="AE336" s="100">
        <f>SUM(S336:AD336)</f>
        <v>125</v>
      </c>
      <c r="AF336" s="100">
        <f t="shared" si="459"/>
        <v>250</v>
      </c>
      <c r="AG336" s="100">
        <f t="shared" si="459"/>
        <v>500</v>
      </c>
      <c r="AH336" s="100">
        <f t="shared" si="459"/>
        <v>0</v>
      </c>
      <c r="AI336" s="304" t="s">
        <v>321</v>
      </c>
    </row>
    <row r="337" spans="1:35">
      <c r="A337" s="83" t="s">
        <v>254</v>
      </c>
      <c r="B337" s="102"/>
      <c r="C337" s="185"/>
      <c r="D337" s="185"/>
      <c r="E337" s="185"/>
      <c r="F337" s="103">
        <f t="shared" ref="F337:Q337" si="460">SUM(F334:F336)</f>
        <v>0</v>
      </c>
      <c r="G337" s="103">
        <f t="shared" si="460"/>
        <v>0</v>
      </c>
      <c r="H337" s="103">
        <f t="shared" si="460"/>
        <v>0</v>
      </c>
      <c r="I337" s="103">
        <f t="shared" si="460"/>
        <v>0</v>
      </c>
      <c r="J337" s="103">
        <f t="shared" si="460"/>
        <v>0</v>
      </c>
      <c r="K337" s="103">
        <f t="shared" si="460"/>
        <v>475</v>
      </c>
      <c r="L337" s="103">
        <f t="shared" si="460"/>
        <v>0</v>
      </c>
      <c r="M337" s="103">
        <f t="shared" si="460"/>
        <v>0</v>
      </c>
      <c r="N337" s="103">
        <f t="shared" si="460"/>
        <v>0</v>
      </c>
      <c r="O337" s="103">
        <f t="shared" si="460"/>
        <v>0</v>
      </c>
      <c r="P337" s="103">
        <f t="shared" si="460"/>
        <v>0</v>
      </c>
      <c r="Q337" s="103">
        <f t="shared" si="460"/>
        <v>0</v>
      </c>
      <c r="R337" s="104">
        <f>SUM(F337:Q337)</f>
        <v>475</v>
      </c>
      <c r="S337" s="103">
        <f t="shared" ref="S337:AD337" si="461">SUM(S334:S336)</f>
        <v>475</v>
      </c>
      <c r="T337" s="103">
        <f t="shared" si="461"/>
        <v>0</v>
      </c>
      <c r="U337" s="103">
        <f t="shared" si="461"/>
        <v>0</v>
      </c>
      <c r="V337" s="103">
        <f t="shared" si="461"/>
        <v>0</v>
      </c>
      <c r="W337" s="103">
        <f t="shared" si="461"/>
        <v>0</v>
      </c>
      <c r="X337" s="103">
        <f t="shared" si="461"/>
        <v>0</v>
      </c>
      <c r="Y337" s="103">
        <f t="shared" si="461"/>
        <v>0</v>
      </c>
      <c r="Z337" s="103">
        <f t="shared" si="461"/>
        <v>0</v>
      </c>
      <c r="AA337" s="103">
        <f t="shared" si="461"/>
        <v>0</v>
      </c>
      <c r="AB337" s="103">
        <f t="shared" si="461"/>
        <v>0</v>
      </c>
      <c r="AC337" s="103">
        <f t="shared" si="461"/>
        <v>0</v>
      </c>
      <c r="AD337" s="103">
        <f t="shared" si="461"/>
        <v>0</v>
      </c>
      <c r="AE337" s="104">
        <f>SUM(S337:AD337)</f>
        <v>475</v>
      </c>
      <c r="AF337" s="104">
        <f>SUM(AF334:AF336)</f>
        <v>950</v>
      </c>
      <c r="AG337" s="104">
        <f>SUM(AG334:AG336)</f>
        <v>1900</v>
      </c>
      <c r="AH337" s="104">
        <f>SUM(AH334:AH336)</f>
        <v>0</v>
      </c>
      <c r="AI337" s="304" t="s">
        <v>321</v>
      </c>
    </row>
    <row r="338" spans="1:35">
      <c r="A338" s="96"/>
      <c r="B338" s="97" t="s">
        <v>255</v>
      </c>
      <c r="C338" s="67"/>
      <c r="D338" s="67"/>
      <c r="E338" s="67"/>
      <c r="F338" s="99">
        <f t="array" ref="F338">SUM(IF($E334:$E336="Yes",F334:F336,0))</f>
        <v>0</v>
      </c>
      <c r="G338" s="99">
        <f t="array" ref="G338">SUM(IF($E334:$E336="Yes",G334:G336,0))</f>
        <v>0</v>
      </c>
      <c r="H338" s="99">
        <f t="array" ref="H338">SUM(IF($E334:$E336="Yes",H334:H336,0))</f>
        <v>0</v>
      </c>
      <c r="I338" s="99">
        <f t="array" ref="I338">SUM(IF($E334:$E336="Yes",I334:I336,0))</f>
        <v>0</v>
      </c>
      <c r="J338" s="99">
        <f t="array" ref="J338">SUM(IF($E334:$E336="Yes",J334:J336,0))</f>
        <v>0</v>
      </c>
      <c r="K338" s="99">
        <f t="array" ref="K338">SUM(IF($E334:$E336="Yes",K334:K336,0))</f>
        <v>0</v>
      </c>
      <c r="L338" s="99">
        <f t="array" ref="L338">SUM(IF($E334:$E336="Yes",L334:L336,0))</f>
        <v>0</v>
      </c>
      <c r="M338" s="99">
        <f t="array" ref="M338">SUM(IF($E334:$E336="Yes",M334:M336,0))</f>
        <v>0</v>
      </c>
      <c r="N338" s="99">
        <f t="array" ref="N338">SUM(IF($E334:$E336="Yes",N334:N336,0))</f>
        <v>0</v>
      </c>
      <c r="O338" s="99">
        <f t="array" ref="O338">SUM(IF($E334:$E336="Yes",O334:O336,0))</f>
        <v>0</v>
      </c>
      <c r="P338" s="99">
        <f t="array" ref="P338">SUM(IF($E334:$E336="Yes",P334:P336,0))</f>
        <v>0</v>
      </c>
      <c r="Q338" s="99">
        <f t="array" ref="Q338">SUM(IF($E334:$E336="Yes",Q334:Q336,0))</f>
        <v>0</v>
      </c>
      <c r="R338" s="100">
        <f>SUM(F338:Q338)</f>
        <v>0</v>
      </c>
      <c r="S338" s="99">
        <f t="array" ref="S338">SUM(IF($E334:$E336="Yes",S334:S336,0))</f>
        <v>0</v>
      </c>
      <c r="T338" s="99">
        <f t="array" ref="T338">SUM(IF($E334:$E336="Yes",T334:T336,0))</f>
        <v>0</v>
      </c>
      <c r="U338" s="99">
        <f t="array" ref="U338">SUM(IF($E334:$E336="Yes",U334:U336,0))</f>
        <v>0</v>
      </c>
      <c r="V338" s="99">
        <f t="array" ref="V338">SUM(IF($E334:$E336="Yes",V334:V336,0))</f>
        <v>0</v>
      </c>
      <c r="W338" s="99">
        <f t="array" ref="W338">SUM(IF($E334:$E336="Yes",W334:W336,0))</f>
        <v>0</v>
      </c>
      <c r="X338" s="99">
        <f t="array" ref="X338">SUM(IF($E334:$E336="Yes",X334:X336,0))</f>
        <v>0</v>
      </c>
      <c r="Y338" s="99">
        <f t="array" ref="Y338">SUM(IF($E334:$E336="Yes",Y334:Y336,0))</f>
        <v>0</v>
      </c>
      <c r="Z338" s="99">
        <f t="array" ref="Z338">SUM(IF($E334:$E336="Yes",Z334:Z336,0))</f>
        <v>0</v>
      </c>
      <c r="AA338" s="99">
        <f t="array" ref="AA338">SUM(IF($E334:$E336="Yes",AA334:AA336,0))</f>
        <v>0</v>
      </c>
      <c r="AB338" s="99">
        <f t="array" ref="AB338">SUM(IF($E334:$E336="Yes",AB334:AB336,0))</f>
        <v>0</v>
      </c>
      <c r="AC338" s="99">
        <f t="array" ref="AC338">SUM(IF($E334:$E336="Yes",AC334:AC336,0))</f>
        <v>0</v>
      </c>
      <c r="AD338" s="99">
        <f t="array" ref="AD338">SUM(IF($E334:$E336="Yes",AD334:AD336,0))</f>
        <v>0</v>
      </c>
      <c r="AE338" s="100">
        <f>SUM(S338:AD338)</f>
        <v>0</v>
      </c>
      <c r="AF338" s="100">
        <f t="array" ref="AF338">SUM(IF($E334:$E336="Yes",AF334:AF336,0))</f>
        <v>0</v>
      </c>
      <c r="AG338" s="100">
        <f t="array" ref="AG338">SUM(IF($E334:$E336="Yes",AG334:AG336,0))</f>
        <v>0</v>
      </c>
      <c r="AH338" s="100">
        <f t="array" ref="AH338">SUM(IF($E334:$E336="Yes",AH334:AH336,0))</f>
        <v>0</v>
      </c>
      <c r="AI338" s="304" t="s">
        <v>321</v>
      </c>
    </row>
    <row r="339" spans="1:35">
      <c r="A339" s="96"/>
      <c r="B339" s="97"/>
      <c r="C339" s="70"/>
      <c r="D339" s="70"/>
      <c r="E339" s="70"/>
      <c r="F339" s="99"/>
      <c r="G339" s="99"/>
      <c r="H339" s="99"/>
      <c r="I339" s="99"/>
      <c r="J339" s="99"/>
      <c r="K339" s="99"/>
      <c r="L339" s="99"/>
      <c r="M339" s="99"/>
      <c r="N339" s="99"/>
      <c r="O339" s="99"/>
      <c r="P339" s="99"/>
      <c r="Q339" s="99"/>
      <c r="R339" s="100"/>
      <c r="S339" s="99"/>
      <c r="T339" s="99"/>
      <c r="U339" s="99"/>
      <c r="V339" s="99"/>
      <c r="W339" s="99"/>
      <c r="X339" s="99"/>
      <c r="Y339" s="99"/>
      <c r="Z339" s="99"/>
      <c r="AA339" s="99"/>
      <c r="AB339" s="99"/>
      <c r="AC339" s="99"/>
      <c r="AD339" s="99"/>
      <c r="AE339" s="100"/>
      <c r="AF339" s="100"/>
      <c r="AG339" s="100"/>
      <c r="AH339" s="100"/>
      <c r="AI339" s="304" t="s">
        <v>321</v>
      </c>
    </row>
    <row r="340" spans="1:35">
      <c r="A340" s="186" t="str">
        <f>UPPER($A$269)</f>
        <v>SALES &amp; MARKETING</v>
      </c>
      <c r="B340" s="187"/>
      <c r="C340" s="183"/>
      <c r="D340" s="91"/>
      <c r="E340" s="183" t="s">
        <v>252</v>
      </c>
      <c r="F340" s="99"/>
      <c r="G340" s="99"/>
      <c r="H340" s="99"/>
      <c r="I340" s="99"/>
      <c r="J340" s="99"/>
      <c r="K340" s="99"/>
      <c r="L340" s="99"/>
      <c r="M340" s="99"/>
      <c r="N340" s="99"/>
      <c r="O340" s="99"/>
      <c r="P340" s="99"/>
      <c r="Q340" s="99"/>
      <c r="R340" s="100"/>
      <c r="S340" s="99"/>
      <c r="T340" s="99"/>
      <c r="U340" s="99"/>
      <c r="V340" s="99"/>
      <c r="W340" s="99"/>
      <c r="X340" s="99"/>
      <c r="Y340" s="99"/>
      <c r="Z340" s="99"/>
      <c r="AA340" s="99"/>
      <c r="AB340" s="99"/>
      <c r="AC340" s="99"/>
      <c r="AD340" s="99"/>
      <c r="AE340" s="100"/>
      <c r="AF340" s="100"/>
      <c r="AG340" s="100"/>
      <c r="AH340" s="100"/>
      <c r="AI340" s="304" t="s">
        <v>321</v>
      </c>
    </row>
    <row r="341" spans="1:35">
      <c r="A341" s="96"/>
      <c r="B341" s="97" t="s">
        <v>217</v>
      </c>
      <c r="C341" s="119">
        <f>Assumptions!E76</f>
        <v>2500</v>
      </c>
      <c r="D341" s="91"/>
      <c r="E341" s="184" t="s">
        <v>253</v>
      </c>
      <c r="F341" s="99">
        <f t="shared" ref="F341:Q343" si="462">$C341*(F$276-E$276)</f>
        <v>1250</v>
      </c>
      <c r="G341" s="99">
        <f t="shared" si="462"/>
        <v>0</v>
      </c>
      <c r="H341" s="99">
        <f t="shared" si="462"/>
        <v>0</v>
      </c>
      <c r="I341" s="99">
        <f t="shared" si="462"/>
        <v>0</v>
      </c>
      <c r="J341" s="99">
        <f t="shared" si="462"/>
        <v>0</v>
      </c>
      <c r="K341" s="99">
        <f t="shared" si="462"/>
        <v>1250</v>
      </c>
      <c r="L341" s="99">
        <f t="shared" si="462"/>
        <v>0</v>
      </c>
      <c r="M341" s="99">
        <f t="shared" si="462"/>
        <v>0</v>
      </c>
      <c r="N341" s="99">
        <f t="shared" si="462"/>
        <v>0</v>
      </c>
      <c r="O341" s="99">
        <f t="shared" si="462"/>
        <v>0</v>
      </c>
      <c r="P341" s="99">
        <f t="shared" si="462"/>
        <v>0</v>
      </c>
      <c r="Q341" s="99">
        <f t="shared" si="462"/>
        <v>0</v>
      </c>
      <c r="R341" s="100">
        <f>SUM(F341:Q341)</f>
        <v>2500</v>
      </c>
      <c r="S341" s="99">
        <f t="shared" ref="S341:AD343" si="463">$C341*(S$276-R$276)</f>
        <v>2500</v>
      </c>
      <c r="T341" s="99">
        <f t="shared" si="463"/>
        <v>2500</v>
      </c>
      <c r="U341" s="99">
        <f t="shared" si="463"/>
        <v>2500</v>
      </c>
      <c r="V341" s="99">
        <f t="shared" si="463"/>
        <v>0</v>
      </c>
      <c r="W341" s="99">
        <f t="shared" si="463"/>
        <v>0</v>
      </c>
      <c r="X341" s="99">
        <f t="shared" si="463"/>
        <v>0</v>
      </c>
      <c r="Y341" s="99">
        <f t="shared" si="463"/>
        <v>0</v>
      </c>
      <c r="Z341" s="99">
        <f t="shared" si="463"/>
        <v>0</v>
      </c>
      <c r="AA341" s="99">
        <f t="shared" si="463"/>
        <v>0</v>
      </c>
      <c r="AB341" s="99">
        <f t="shared" si="463"/>
        <v>0</v>
      </c>
      <c r="AC341" s="99">
        <f t="shared" si="463"/>
        <v>0</v>
      </c>
      <c r="AD341" s="99">
        <f t="shared" si="463"/>
        <v>0</v>
      </c>
      <c r="AE341" s="100">
        <f>SUM(S341:AD341)</f>
        <v>7500</v>
      </c>
      <c r="AF341" s="100">
        <f t="shared" ref="AF341:AH343" si="464">$C341*(AF$276-AE$276)</f>
        <v>5000</v>
      </c>
      <c r="AG341" s="100">
        <f t="shared" si="464"/>
        <v>7500</v>
      </c>
      <c r="AH341" s="100">
        <f t="shared" si="464"/>
        <v>5000</v>
      </c>
      <c r="AI341" s="304" t="s">
        <v>321</v>
      </c>
    </row>
    <row r="342" spans="1:35">
      <c r="A342" s="96"/>
      <c r="B342" s="97" t="s">
        <v>218</v>
      </c>
      <c r="C342" s="119">
        <f>Assumptions!F76</f>
        <v>200</v>
      </c>
      <c r="D342" s="91"/>
      <c r="E342" s="184" t="s">
        <v>253</v>
      </c>
      <c r="F342" s="99">
        <f t="shared" si="462"/>
        <v>100</v>
      </c>
      <c r="G342" s="99">
        <f t="shared" si="462"/>
        <v>0</v>
      </c>
      <c r="H342" s="99">
        <f t="shared" si="462"/>
        <v>0</v>
      </c>
      <c r="I342" s="99">
        <f t="shared" si="462"/>
        <v>0</v>
      </c>
      <c r="J342" s="99">
        <f t="shared" si="462"/>
        <v>0</v>
      </c>
      <c r="K342" s="99">
        <f t="shared" si="462"/>
        <v>100</v>
      </c>
      <c r="L342" s="99">
        <f t="shared" si="462"/>
        <v>0</v>
      </c>
      <c r="M342" s="99">
        <f t="shared" si="462"/>
        <v>0</v>
      </c>
      <c r="N342" s="99">
        <f t="shared" si="462"/>
        <v>0</v>
      </c>
      <c r="O342" s="99">
        <f t="shared" si="462"/>
        <v>0</v>
      </c>
      <c r="P342" s="99">
        <f t="shared" si="462"/>
        <v>0</v>
      </c>
      <c r="Q342" s="99">
        <f t="shared" si="462"/>
        <v>0</v>
      </c>
      <c r="R342" s="100">
        <f>SUM(F342:Q342)</f>
        <v>200</v>
      </c>
      <c r="S342" s="99">
        <f t="shared" si="463"/>
        <v>200</v>
      </c>
      <c r="T342" s="99">
        <f t="shared" si="463"/>
        <v>200</v>
      </c>
      <c r="U342" s="99">
        <f t="shared" si="463"/>
        <v>200</v>
      </c>
      <c r="V342" s="99">
        <f t="shared" si="463"/>
        <v>0</v>
      </c>
      <c r="W342" s="99">
        <f t="shared" si="463"/>
        <v>0</v>
      </c>
      <c r="X342" s="99">
        <f t="shared" si="463"/>
        <v>0</v>
      </c>
      <c r="Y342" s="99">
        <f t="shared" si="463"/>
        <v>0</v>
      </c>
      <c r="Z342" s="99">
        <f t="shared" si="463"/>
        <v>0</v>
      </c>
      <c r="AA342" s="99">
        <f t="shared" si="463"/>
        <v>0</v>
      </c>
      <c r="AB342" s="99">
        <f t="shared" si="463"/>
        <v>0</v>
      </c>
      <c r="AC342" s="99">
        <f t="shared" si="463"/>
        <v>0</v>
      </c>
      <c r="AD342" s="99">
        <f t="shared" si="463"/>
        <v>0</v>
      </c>
      <c r="AE342" s="100">
        <f>SUM(S342:AD342)</f>
        <v>600</v>
      </c>
      <c r="AF342" s="100">
        <f t="shared" si="464"/>
        <v>400</v>
      </c>
      <c r="AG342" s="100">
        <f t="shared" si="464"/>
        <v>600</v>
      </c>
      <c r="AH342" s="100">
        <f t="shared" si="464"/>
        <v>400</v>
      </c>
      <c r="AI342" s="304" t="s">
        <v>321</v>
      </c>
    </row>
    <row r="343" spans="1:35">
      <c r="A343" s="96"/>
      <c r="B343" s="97" t="s">
        <v>219</v>
      </c>
      <c r="C343" s="119">
        <f>Assumptions!G76</f>
        <v>250</v>
      </c>
      <c r="D343" s="91"/>
      <c r="E343" s="184" t="s">
        <v>253</v>
      </c>
      <c r="F343" s="99">
        <f t="shared" si="462"/>
        <v>125</v>
      </c>
      <c r="G343" s="99">
        <f t="shared" si="462"/>
        <v>0</v>
      </c>
      <c r="H343" s="99">
        <f t="shared" si="462"/>
        <v>0</v>
      </c>
      <c r="I343" s="99">
        <f t="shared" si="462"/>
        <v>0</v>
      </c>
      <c r="J343" s="99">
        <f t="shared" si="462"/>
        <v>0</v>
      </c>
      <c r="K343" s="99">
        <f t="shared" si="462"/>
        <v>125</v>
      </c>
      <c r="L343" s="99">
        <f t="shared" si="462"/>
        <v>0</v>
      </c>
      <c r="M343" s="99">
        <f t="shared" si="462"/>
        <v>0</v>
      </c>
      <c r="N343" s="99">
        <f t="shared" si="462"/>
        <v>0</v>
      </c>
      <c r="O343" s="99">
        <f t="shared" si="462"/>
        <v>0</v>
      </c>
      <c r="P343" s="99">
        <f t="shared" si="462"/>
        <v>0</v>
      </c>
      <c r="Q343" s="99">
        <f t="shared" si="462"/>
        <v>0</v>
      </c>
      <c r="R343" s="100">
        <f>SUM(F343:Q343)</f>
        <v>250</v>
      </c>
      <c r="S343" s="99">
        <f t="shared" si="463"/>
        <v>250</v>
      </c>
      <c r="T343" s="99">
        <f t="shared" si="463"/>
        <v>250</v>
      </c>
      <c r="U343" s="99">
        <f t="shared" si="463"/>
        <v>250</v>
      </c>
      <c r="V343" s="99">
        <f t="shared" si="463"/>
        <v>0</v>
      </c>
      <c r="W343" s="99">
        <f t="shared" si="463"/>
        <v>0</v>
      </c>
      <c r="X343" s="99">
        <f t="shared" si="463"/>
        <v>0</v>
      </c>
      <c r="Y343" s="99">
        <f t="shared" si="463"/>
        <v>0</v>
      </c>
      <c r="Z343" s="99">
        <f t="shared" si="463"/>
        <v>0</v>
      </c>
      <c r="AA343" s="99">
        <f t="shared" si="463"/>
        <v>0</v>
      </c>
      <c r="AB343" s="99">
        <f t="shared" si="463"/>
        <v>0</v>
      </c>
      <c r="AC343" s="99">
        <f t="shared" si="463"/>
        <v>0</v>
      </c>
      <c r="AD343" s="99">
        <f t="shared" si="463"/>
        <v>0</v>
      </c>
      <c r="AE343" s="100">
        <f>SUM(S343:AD343)</f>
        <v>750</v>
      </c>
      <c r="AF343" s="100">
        <f t="shared" si="464"/>
        <v>500</v>
      </c>
      <c r="AG343" s="100">
        <f t="shared" si="464"/>
        <v>750</v>
      </c>
      <c r="AH343" s="100">
        <f t="shared" si="464"/>
        <v>500</v>
      </c>
      <c r="AI343" s="304" t="s">
        <v>321</v>
      </c>
    </row>
    <row r="344" spans="1:35">
      <c r="A344" s="83" t="s">
        <v>254</v>
      </c>
      <c r="B344" s="102"/>
      <c r="C344" s="185"/>
      <c r="D344" s="185"/>
      <c r="E344" s="185"/>
      <c r="F344" s="103">
        <f t="shared" ref="F344:Q344" si="465">SUM(F341:F343)</f>
        <v>1475</v>
      </c>
      <c r="G344" s="103">
        <f t="shared" si="465"/>
        <v>0</v>
      </c>
      <c r="H344" s="103">
        <f t="shared" si="465"/>
        <v>0</v>
      </c>
      <c r="I344" s="103">
        <f t="shared" si="465"/>
        <v>0</v>
      </c>
      <c r="J344" s="103">
        <f t="shared" si="465"/>
        <v>0</v>
      </c>
      <c r="K344" s="103">
        <f t="shared" si="465"/>
        <v>1475</v>
      </c>
      <c r="L344" s="103">
        <f t="shared" si="465"/>
        <v>0</v>
      </c>
      <c r="M344" s="103">
        <f t="shared" si="465"/>
        <v>0</v>
      </c>
      <c r="N344" s="103">
        <f t="shared" si="465"/>
        <v>0</v>
      </c>
      <c r="O344" s="103">
        <f t="shared" si="465"/>
        <v>0</v>
      </c>
      <c r="P344" s="103">
        <f t="shared" si="465"/>
        <v>0</v>
      </c>
      <c r="Q344" s="103">
        <f t="shared" si="465"/>
        <v>0</v>
      </c>
      <c r="R344" s="104">
        <f>SUM(F344:Q344)</f>
        <v>2950</v>
      </c>
      <c r="S344" s="103">
        <f t="shared" ref="S344:AD344" si="466">SUM(S341:S343)</f>
        <v>2950</v>
      </c>
      <c r="T344" s="103">
        <f t="shared" si="466"/>
        <v>2950</v>
      </c>
      <c r="U344" s="103">
        <f t="shared" si="466"/>
        <v>2950</v>
      </c>
      <c r="V344" s="103">
        <f t="shared" si="466"/>
        <v>0</v>
      </c>
      <c r="W344" s="103">
        <f t="shared" si="466"/>
        <v>0</v>
      </c>
      <c r="X344" s="103">
        <f t="shared" si="466"/>
        <v>0</v>
      </c>
      <c r="Y344" s="103">
        <f t="shared" si="466"/>
        <v>0</v>
      </c>
      <c r="Z344" s="103">
        <f t="shared" si="466"/>
        <v>0</v>
      </c>
      <c r="AA344" s="103">
        <f t="shared" si="466"/>
        <v>0</v>
      </c>
      <c r="AB344" s="103">
        <f t="shared" si="466"/>
        <v>0</v>
      </c>
      <c r="AC344" s="103">
        <f t="shared" si="466"/>
        <v>0</v>
      </c>
      <c r="AD344" s="103">
        <f t="shared" si="466"/>
        <v>0</v>
      </c>
      <c r="AE344" s="104">
        <f>SUM(S344:AD344)</f>
        <v>8850</v>
      </c>
      <c r="AF344" s="104">
        <f>SUM(AF341:AF343)</f>
        <v>5900</v>
      </c>
      <c r="AG344" s="104">
        <f>SUM(AG341:AG343)</f>
        <v>8850</v>
      </c>
      <c r="AH344" s="104">
        <f>SUM(AH341:AH343)</f>
        <v>5900</v>
      </c>
      <c r="AI344" s="304" t="s">
        <v>321</v>
      </c>
    </row>
    <row r="345" spans="1:35">
      <c r="A345" s="96"/>
      <c r="B345" s="97" t="s">
        <v>255</v>
      </c>
      <c r="C345" s="67"/>
      <c r="D345" s="67"/>
      <c r="E345" s="67"/>
      <c r="F345" s="99">
        <f t="array" ref="F345">SUM(IF($E341:$E343="Yes",F341:F343,0))</f>
        <v>0</v>
      </c>
      <c r="G345" s="99">
        <f t="array" ref="G345">SUM(IF($E341:$E343="Yes",G341:G343,0))</f>
        <v>0</v>
      </c>
      <c r="H345" s="99">
        <f t="array" ref="H345">SUM(IF($E341:$E343="Yes",H341:H343,0))</f>
        <v>0</v>
      </c>
      <c r="I345" s="99">
        <f t="array" ref="I345">SUM(IF($E341:$E343="Yes",I341:I343,0))</f>
        <v>0</v>
      </c>
      <c r="J345" s="99">
        <f t="array" ref="J345">SUM(IF($E341:$E343="Yes",J341:J343,0))</f>
        <v>0</v>
      </c>
      <c r="K345" s="99">
        <f t="array" ref="K345">SUM(IF($E341:$E343="Yes",K341:K343,0))</f>
        <v>0</v>
      </c>
      <c r="L345" s="99">
        <f t="array" ref="L345">SUM(IF($E341:$E343="Yes",L341:L343,0))</f>
        <v>0</v>
      </c>
      <c r="M345" s="99">
        <f t="array" ref="M345">SUM(IF($E341:$E343="Yes",M341:M343,0))</f>
        <v>0</v>
      </c>
      <c r="N345" s="99">
        <f t="array" ref="N345">SUM(IF($E341:$E343="Yes",N341:N343,0))</f>
        <v>0</v>
      </c>
      <c r="O345" s="99">
        <f t="array" ref="O345">SUM(IF($E341:$E343="Yes",O341:O343,0))</f>
        <v>0</v>
      </c>
      <c r="P345" s="99">
        <f t="array" ref="P345">SUM(IF($E341:$E343="Yes",P341:P343,0))</f>
        <v>0</v>
      </c>
      <c r="Q345" s="99">
        <f t="array" ref="Q345">SUM(IF($E341:$E343="Yes",Q341:Q343,0))</f>
        <v>0</v>
      </c>
      <c r="R345" s="100">
        <f>SUM(F345:Q345)</f>
        <v>0</v>
      </c>
      <c r="S345" s="99">
        <f t="array" ref="S345">SUM(IF($E341:$E343="Yes",S341:S343,0))</f>
        <v>0</v>
      </c>
      <c r="T345" s="99">
        <f t="array" ref="T345">SUM(IF($E341:$E343="Yes",T341:T343,0))</f>
        <v>0</v>
      </c>
      <c r="U345" s="99">
        <f t="array" ref="U345">SUM(IF($E341:$E343="Yes",U341:U343,0))</f>
        <v>0</v>
      </c>
      <c r="V345" s="99">
        <f t="array" ref="V345">SUM(IF($E341:$E343="Yes",V341:V343,0))</f>
        <v>0</v>
      </c>
      <c r="W345" s="99">
        <f t="array" ref="W345">SUM(IF($E341:$E343="Yes",W341:W343,0))</f>
        <v>0</v>
      </c>
      <c r="X345" s="99">
        <f t="array" ref="X345">SUM(IF($E341:$E343="Yes",X341:X343,0))</f>
        <v>0</v>
      </c>
      <c r="Y345" s="99">
        <f t="array" ref="Y345">SUM(IF($E341:$E343="Yes",Y341:Y343,0))</f>
        <v>0</v>
      </c>
      <c r="Z345" s="99">
        <f t="array" ref="Z345">SUM(IF($E341:$E343="Yes",Z341:Z343,0))</f>
        <v>0</v>
      </c>
      <c r="AA345" s="99">
        <f t="array" ref="AA345">SUM(IF($E341:$E343="Yes",AA341:AA343,0))</f>
        <v>0</v>
      </c>
      <c r="AB345" s="99">
        <f t="array" ref="AB345">SUM(IF($E341:$E343="Yes",AB341:AB343,0))</f>
        <v>0</v>
      </c>
      <c r="AC345" s="99">
        <f t="array" ref="AC345">SUM(IF($E341:$E343="Yes",AC341:AC343,0))</f>
        <v>0</v>
      </c>
      <c r="AD345" s="99">
        <f t="array" ref="AD345">SUM(IF($E341:$E343="Yes",AD341:AD343,0))</f>
        <v>0</v>
      </c>
      <c r="AE345" s="100">
        <f>SUM(S345:AD345)</f>
        <v>0</v>
      </c>
      <c r="AF345" s="100">
        <f t="array" ref="AF345">SUM(IF($E341:$E343="Yes",AF341:AF343,0))</f>
        <v>0</v>
      </c>
      <c r="AG345" s="100">
        <f t="array" ref="AG345">SUM(IF($E341:$E343="Yes",AG341:AG343,0))</f>
        <v>0</v>
      </c>
      <c r="AH345" s="100">
        <f t="array" ref="AH345">SUM(IF($E341:$E343="Yes",AH341:AH343,0))</f>
        <v>0</v>
      </c>
      <c r="AI345" s="304" t="s">
        <v>321</v>
      </c>
    </row>
    <row r="346" spans="1:35">
      <c r="A346" s="96"/>
      <c r="B346" s="97"/>
      <c r="C346" s="70"/>
      <c r="D346" s="70"/>
      <c r="E346" s="70"/>
      <c r="F346" s="99"/>
      <c r="G346" s="99"/>
      <c r="H346" s="99"/>
      <c r="I346" s="99"/>
      <c r="J346" s="99"/>
      <c r="K346" s="99"/>
      <c r="L346" s="99"/>
      <c r="M346" s="99"/>
      <c r="N346" s="99"/>
      <c r="O346" s="99"/>
      <c r="P346" s="99"/>
      <c r="Q346" s="99"/>
      <c r="R346" s="100"/>
      <c r="S346" s="99"/>
      <c r="T346" s="99"/>
      <c r="U346" s="99"/>
      <c r="V346" s="99"/>
      <c r="W346" s="99"/>
      <c r="X346" s="99"/>
      <c r="Y346" s="99"/>
      <c r="Z346" s="99"/>
      <c r="AA346" s="99"/>
      <c r="AB346" s="99"/>
      <c r="AC346" s="99"/>
      <c r="AD346" s="99"/>
      <c r="AE346" s="100"/>
      <c r="AF346" s="100"/>
      <c r="AG346" s="100"/>
      <c r="AH346" s="100"/>
      <c r="AI346" s="304" t="s">
        <v>321</v>
      </c>
    </row>
    <row r="347" spans="1:35">
      <c r="A347" s="186" t="str">
        <f>UPPER($A$278)</f>
        <v>ADMINISTRATION</v>
      </c>
      <c r="B347" s="187"/>
      <c r="C347" s="183"/>
      <c r="D347" s="91"/>
      <c r="E347" s="183" t="s">
        <v>252</v>
      </c>
      <c r="F347" s="99"/>
      <c r="G347" s="99"/>
      <c r="H347" s="99"/>
      <c r="I347" s="99"/>
      <c r="J347" s="99"/>
      <c r="K347" s="99"/>
      <c r="L347" s="99"/>
      <c r="M347" s="99"/>
      <c r="N347" s="99"/>
      <c r="O347" s="99"/>
      <c r="P347" s="99"/>
      <c r="Q347" s="99"/>
      <c r="R347" s="100"/>
      <c r="S347" s="99"/>
      <c r="T347" s="99"/>
      <c r="U347" s="99"/>
      <c r="V347" s="99"/>
      <c r="W347" s="99"/>
      <c r="X347" s="99"/>
      <c r="Y347" s="99"/>
      <c r="Z347" s="99"/>
      <c r="AA347" s="99"/>
      <c r="AB347" s="99"/>
      <c r="AC347" s="99"/>
      <c r="AD347" s="99"/>
      <c r="AE347" s="100"/>
      <c r="AF347" s="100"/>
      <c r="AG347" s="100"/>
      <c r="AH347" s="100"/>
      <c r="AI347" s="304" t="s">
        <v>321</v>
      </c>
    </row>
    <row r="348" spans="1:35">
      <c r="A348" s="96"/>
      <c r="B348" s="97" t="s">
        <v>217</v>
      </c>
      <c r="C348" s="119">
        <f>Assumptions!E77</f>
        <v>500</v>
      </c>
      <c r="D348" s="91"/>
      <c r="E348" s="184" t="s">
        <v>253</v>
      </c>
      <c r="F348" s="99">
        <f t="shared" ref="F348:Q350" si="467">$C348*(F$286-E$286)</f>
        <v>750</v>
      </c>
      <c r="G348" s="99">
        <f t="shared" si="467"/>
        <v>0</v>
      </c>
      <c r="H348" s="99">
        <f t="shared" si="467"/>
        <v>0</v>
      </c>
      <c r="I348" s="99">
        <f t="shared" si="467"/>
        <v>0</v>
      </c>
      <c r="J348" s="99">
        <f t="shared" si="467"/>
        <v>0</v>
      </c>
      <c r="K348" s="99">
        <f t="shared" si="467"/>
        <v>250</v>
      </c>
      <c r="L348" s="99">
        <f t="shared" si="467"/>
        <v>0</v>
      </c>
      <c r="M348" s="99">
        <f t="shared" si="467"/>
        <v>0</v>
      </c>
      <c r="N348" s="99">
        <f t="shared" si="467"/>
        <v>0</v>
      </c>
      <c r="O348" s="99">
        <f t="shared" si="467"/>
        <v>0</v>
      </c>
      <c r="P348" s="99">
        <f t="shared" si="467"/>
        <v>0</v>
      </c>
      <c r="Q348" s="99">
        <f t="shared" si="467"/>
        <v>0</v>
      </c>
      <c r="R348" s="100">
        <f>SUM(F348:Q348)</f>
        <v>1000</v>
      </c>
      <c r="S348" s="99">
        <f t="shared" ref="S348:AD350" si="468">$C348*(S$286-R$286)</f>
        <v>1000</v>
      </c>
      <c r="T348" s="99">
        <f t="shared" si="468"/>
        <v>0</v>
      </c>
      <c r="U348" s="99">
        <f t="shared" si="468"/>
        <v>0</v>
      </c>
      <c r="V348" s="99">
        <f t="shared" si="468"/>
        <v>0</v>
      </c>
      <c r="W348" s="99">
        <f t="shared" si="468"/>
        <v>0</v>
      </c>
      <c r="X348" s="99">
        <f t="shared" si="468"/>
        <v>0</v>
      </c>
      <c r="Y348" s="99">
        <f t="shared" si="468"/>
        <v>0</v>
      </c>
      <c r="Z348" s="99">
        <f t="shared" si="468"/>
        <v>0</v>
      </c>
      <c r="AA348" s="99">
        <f t="shared" si="468"/>
        <v>0</v>
      </c>
      <c r="AB348" s="99">
        <f t="shared" si="468"/>
        <v>0</v>
      </c>
      <c r="AC348" s="99">
        <f t="shared" si="468"/>
        <v>0</v>
      </c>
      <c r="AD348" s="99">
        <f t="shared" si="468"/>
        <v>0</v>
      </c>
      <c r="AE348" s="100">
        <f>SUM(S348:AD348)</f>
        <v>1000</v>
      </c>
      <c r="AF348" s="100">
        <f t="shared" ref="AF348:AH350" si="469">$C348*(AF$286-AE$286)</f>
        <v>0</v>
      </c>
      <c r="AG348" s="100">
        <f t="shared" si="469"/>
        <v>500</v>
      </c>
      <c r="AH348" s="100">
        <f t="shared" si="469"/>
        <v>0</v>
      </c>
      <c r="AI348" s="304" t="s">
        <v>321</v>
      </c>
    </row>
    <row r="349" spans="1:35">
      <c r="A349" s="96"/>
      <c r="B349" s="97" t="s">
        <v>218</v>
      </c>
      <c r="C349" s="119">
        <f>Assumptions!F77</f>
        <v>200</v>
      </c>
      <c r="D349" s="91"/>
      <c r="E349" s="184" t="s">
        <v>253</v>
      </c>
      <c r="F349" s="99">
        <f t="shared" si="467"/>
        <v>300</v>
      </c>
      <c r="G349" s="99">
        <f t="shared" si="467"/>
        <v>0</v>
      </c>
      <c r="H349" s="99">
        <f t="shared" si="467"/>
        <v>0</v>
      </c>
      <c r="I349" s="99">
        <f t="shared" si="467"/>
        <v>0</v>
      </c>
      <c r="J349" s="99">
        <f t="shared" si="467"/>
        <v>0</v>
      </c>
      <c r="K349" s="99">
        <f t="shared" si="467"/>
        <v>100</v>
      </c>
      <c r="L349" s="99">
        <f t="shared" si="467"/>
        <v>0</v>
      </c>
      <c r="M349" s="99">
        <f t="shared" si="467"/>
        <v>0</v>
      </c>
      <c r="N349" s="99">
        <f t="shared" si="467"/>
        <v>0</v>
      </c>
      <c r="O349" s="99">
        <f t="shared" si="467"/>
        <v>0</v>
      </c>
      <c r="P349" s="99">
        <f t="shared" si="467"/>
        <v>0</v>
      </c>
      <c r="Q349" s="99">
        <f t="shared" si="467"/>
        <v>0</v>
      </c>
      <c r="R349" s="100">
        <f>SUM(F349:Q349)</f>
        <v>400</v>
      </c>
      <c r="S349" s="99">
        <f t="shared" si="468"/>
        <v>400</v>
      </c>
      <c r="T349" s="99">
        <f t="shared" si="468"/>
        <v>0</v>
      </c>
      <c r="U349" s="99">
        <f t="shared" si="468"/>
        <v>0</v>
      </c>
      <c r="V349" s="99">
        <f t="shared" si="468"/>
        <v>0</v>
      </c>
      <c r="W349" s="99">
        <f t="shared" si="468"/>
        <v>0</v>
      </c>
      <c r="X349" s="99">
        <f t="shared" si="468"/>
        <v>0</v>
      </c>
      <c r="Y349" s="99">
        <f t="shared" si="468"/>
        <v>0</v>
      </c>
      <c r="Z349" s="99">
        <f t="shared" si="468"/>
        <v>0</v>
      </c>
      <c r="AA349" s="99">
        <f t="shared" si="468"/>
        <v>0</v>
      </c>
      <c r="AB349" s="99">
        <f t="shared" si="468"/>
        <v>0</v>
      </c>
      <c r="AC349" s="99">
        <f t="shared" si="468"/>
        <v>0</v>
      </c>
      <c r="AD349" s="99">
        <f t="shared" si="468"/>
        <v>0</v>
      </c>
      <c r="AE349" s="100">
        <f>SUM(S349:AD349)</f>
        <v>400</v>
      </c>
      <c r="AF349" s="100">
        <f t="shared" si="469"/>
        <v>0</v>
      </c>
      <c r="AG349" s="100">
        <f t="shared" si="469"/>
        <v>200</v>
      </c>
      <c r="AH349" s="100">
        <f t="shared" si="469"/>
        <v>0</v>
      </c>
      <c r="AI349" s="304" t="s">
        <v>321</v>
      </c>
    </row>
    <row r="350" spans="1:35">
      <c r="A350" s="96"/>
      <c r="B350" s="97" t="s">
        <v>219</v>
      </c>
      <c r="C350" s="119">
        <f>Assumptions!G77</f>
        <v>250</v>
      </c>
      <c r="D350" s="91"/>
      <c r="E350" s="184" t="s">
        <v>253</v>
      </c>
      <c r="F350" s="99">
        <f t="shared" si="467"/>
        <v>375</v>
      </c>
      <c r="G350" s="99">
        <f t="shared" si="467"/>
        <v>0</v>
      </c>
      <c r="H350" s="99">
        <f t="shared" si="467"/>
        <v>0</v>
      </c>
      <c r="I350" s="99">
        <f t="shared" si="467"/>
        <v>0</v>
      </c>
      <c r="J350" s="99">
        <f t="shared" si="467"/>
        <v>0</v>
      </c>
      <c r="K350" s="99">
        <f t="shared" si="467"/>
        <v>125</v>
      </c>
      <c r="L350" s="99">
        <f t="shared" si="467"/>
        <v>0</v>
      </c>
      <c r="M350" s="99">
        <f t="shared" si="467"/>
        <v>0</v>
      </c>
      <c r="N350" s="99">
        <f t="shared" si="467"/>
        <v>0</v>
      </c>
      <c r="O350" s="99">
        <f t="shared" si="467"/>
        <v>0</v>
      </c>
      <c r="P350" s="99">
        <f t="shared" si="467"/>
        <v>0</v>
      </c>
      <c r="Q350" s="99">
        <f t="shared" si="467"/>
        <v>0</v>
      </c>
      <c r="R350" s="100">
        <f>SUM(F350:Q350)</f>
        <v>500</v>
      </c>
      <c r="S350" s="99">
        <f t="shared" si="468"/>
        <v>500</v>
      </c>
      <c r="T350" s="99">
        <f t="shared" si="468"/>
        <v>0</v>
      </c>
      <c r="U350" s="99">
        <f t="shared" si="468"/>
        <v>0</v>
      </c>
      <c r="V350" s="99">
        <f t="shared" si="468"/>
        <v>0</v>
      </c>
      <c r="W350" s="99">
        <f t="shared" si="468"/>
        <v>0</v>
      </c>
      <c r="X350" s="99">
        <f t="shared" si="468"/>
        <v>0</v>
      </c>
      <c r="Y350" s="99">
        <f t="shared" si="468"/>
        <v>0</v>
      </c>
      <c r="Z350" s="99">
        <f t="shared" si="468"/>
        <v>0</v>
      </c>
      <c r="AA350" s="99">
        <f t="shared" si="468"/>
        <v>0</v>
      </c>
      <c r="AB350" s="99">
        <f t="shared" si="468"/>
        <v>0</v>
      </c>
      <c r="AC350" s="99">
        <f t="shared" si="468"/>
        <v>0</v>
      </c>
      <c r="AD350" s="99">
        <f t="shared" si="468"/>
        <v>0</v>
      </c>
      <c r="AE350" s="100">
        <f>SUM(S350:AD350)</f>
        <v>500</v>
      </c>
      <c r="AF350" s="100">
        <f t="shared" si="469"/>
        <v>0</v>
      </c>
      <c r="AG350" s="100">
        <f t="shared" si="469"/>
        <v>250</v>
      </c>
      <c r="AH350" s="100">
        <f t="shared" si="469"/>
        <v>0</v>
      </c>
      <c r="AI350" s="304" t="s">
        <v>321</v>
      </c>
    </row>
    <row r="351" spans="1:35">
      <c r="A351" s="83" t="s">
        <v>254</v>
      </c>
      <c r="B351" s="102"/>
      <c r="C351" s="185"/>
      <c r="D351" s="185"/>
      <c r="E351" s="185"/>
      <c r="F351" s="103">
        <f t="shared" ref="F351:Q351" si="470">SUM(F348:F350)</f>
        <v>1425</v>
      </c>
      <c r="G351" s="103">
        <f t="shared" si="470"/>
        <v>0</v>
      </c>
      <c r="H351" s="103">
        <f t="shared" si="470"/>
        <v>0</v>
      </c>
      <c r="I351" s="103">
        <f t="shared" si="470"/>
        <v>0</v>
      </c>
      <c r="J351" s="103">
        <f t="shared" si="470"/>
        <v>0</v>
      </c>
      <c r="K351" s="103">
        <f t="shared" si="470"/>
        <v>475</v>
      </c>
      <c r="L351" s="103">
        <f t="shared" si="470"/>
        <v>0</v>
      </c>
      <c r="M351" s="103">
        <f t="shared" si="470"/>
        <v>0</v>
      </c>
      <c r="N351" s="103">
        <f t="shared" si="470"/>
        <v>0</v>
      </c>
      <c r="O351" s="103">
        <f t="shared" si="470"/>
        <v>0</v>
      </c>
      <c r="P351" s="103">
        <f t="shared" si="470"/>
        <v>0</v>
      </c>
      <c r="Q351" s="103">
        <f t="shared" si="470"/>
        <v>0</v>
      </c>
      <c r="R351" s="104">
        <f>SUM(F351:Q351)</f>
        <v>1900</v>
      </c>
      <c r="S351" s="103">
        <f t="shared" ref="S351:AD351" si="471">SUM(S348:S350)</f>
        <v>1900</v>
      </c>
      <c r="T351" s="103">
        <f t="shared" si="471"/>
        <v>0</v>
      </c>
      <c r="U351" s="103">
        <f t="shared" si="471"/>
        <v>0</v>
      </c>
      <c r="V351" s="103">
        <f t="shared" si="471"/>
        <v>0</v>
      </c>
      <c r="W351" s="103">
        <f t="shared" si="471"/>
        <v>0</v>
      </c>
      <c r="X351" s="103">
        <f t="shared" si="471"/>
        <v>0</v>
      </c>
      <c r="Y351" s="103">
        <f t="shared" si="471"/>
        <v>0</v>
      </c>
      <c r="Z351" s="103">
        <f t="shared" si="471"/>
        <v>0</v>
      </c>
      <c r="AA351" s="103">
        <f t="shared" si="471"/>
        <v>0</v>
      </c>
      <c r="AB351" s="103">
        <f t="shared" si="471"/>
        <v>0</v>
      </c>
      <c r="AC351" s="103">
        <f t="shared" si="471"/>
        <v>0</v>
      </c>
      <c r="AD351" s="103">
        <f t="shared" si="471"/>
        <v>0</v>
      </c>
      <c r="AE351" s="104">
        <f>SUM(S351:AD351)</f>
        <v>1900</v>
      </c>
      <c r="AF351" s="104">
        <f>SUM(AF348:AF350)</f>
        <v>0</v>
      </c>
      <c r="AG351" s="104">
        <f>SUM(AG348:AG350)</f>
        <v>950</v>
      </c>
      <c r="AH351" s="104">
        <f>SUM(AH348:AH350)</f>
        <v>0</v>
      </c>
      <c r="AI351" s="304" t="s">
        <v>321</v>
      </c>
    </row>
    <row r="352" spans="1:35">
      <c r="A352" s="96"/>
      <c r="B352" s="97" t="s">
        <v>255</v>
      </c>
      <c r="C352" s="99"/>
      <c r="D352" s="99"/>
      <c r="E352" s="99"/>
      <c r="F352" s="99">
        <f t="array" ref="F352">SUM(IF($E348:$E350="Yes",F348:F350,0))</f>
        <v>0</v>
      </c>
      <c r="G352" s="99">
        <f t="array" ref="G352">SUM(IF($E348:$E350="Yes",G348:G350,0))</f>
        <v>0</v>
      </c>
      <c r="H352" s="99">
        <f t="array" ref="H352">SUM(IF($E348:$E350="Yes",H348:H350,0))</f>
        <v>0</v>
      </c>
      <c r="I352" s="99">
        <f t="array" ref="I352">SUM(IF($E348:$E350="Yes",I348:I350,0))</f>
        <v>0</v>
      </c>
      <c r="J352" s="99">
        <f t="array" ref="J352">SUM(IF($E348:$E350="Yes",J348:J350,0))</f>
        <v>0</v>
      </c>
      <c r="K352" s="99">
        <f t="array" ref="K352">SUM(IF($E348:$E350="Yes",K348:K350,0))</f>
        <v>0</v>
      </c>
      <c r="L352" s="99">
        <f t="array" ref="L352">SUM(IF($E348:$E350="Yes",L348:L350,0))</f>
        <v>0</v>
      </c>
      <c r="M352" s="99">
        <f t="array" ref="M352">SUM(IF($E348:$E350="Yes",M348:M350,0))</f>
        <v>0</v>
      </c>
      <c r="N352" s="99">
        <f t="array" ref="N352">SUM(IF($E348:$E350="Yes",N348:N350,0))</f>
        <v>0</v>
      </c>
      <c r="O352" s="99">
        <f t="array" ref="O352">SUM(IF($E348:$E350="Yes",O348:O350,0))</f>
        <v>0</v>
      </c>
      <c r="P352" s="99">
        <f t="array" ref="P352">SUM(IF($E348:$E350="Yes",P348:P350,0))</f>
        <v>0</v>
      </c>
      <c r="Q352" s="99">
        <f t="array" ref="Q352">SUM(IF($E348:$E350="Yes",Q348:Q350,0))</f>
        <v>0</v>
      </c>
      <c r="R352" s="100">
        <f>SUM(F352:Q352)</f>
        <v>0</v>
      </c>
      <c r="S352" s="99">
        <f t="array" ref="S352">SUM(IF($E348:$E350="Yes",S348:S350,0))</f>
        <v>0</v>
      </c>
      <c r="T352" s="99">
        <f t="array" ref="T352">SUM(IF($E348:$E350="Yes",T348:T350,0))</f>
        <v>0</v>
      </c>
      <c r="U352" s="99">
        <f t="array" ref="U352">SUM(IF($E348:$E350="Yes",U348:U350,0))</f>
        <v>0</v>
      </c>
      <c r="V352" s="99">
        <f t="array" ref="V352">SUM(IF($E348:$E350="Yes",V348:V350,0))</f>
        <v>0</v>
      </c>
      <c r="W352" s="99">
        <f t="array" ref="W352">SUM(IF($E348:$E350="Yes",W348:W350,0))</f>
        <v>0</v>
      </c>
      <c r="X352" s="99">
        <f t="array" ref="X352">SUM(IF($E348:$E350="Yes",X348:X350,0))</f>
        <v>0</v>
      </c>
      <c r="Y352" s="99">
        <f t="array" ref="Y352">SUM(IF($E348:$E350="Yes",Y348:Y350,0))</f>
        <v>0</v>
      </c>
      <c r="Z352" s="99">
        <f t="array" ref="Z352">SUM(IF($E348:$E350="Yes",Z348:Z350,0))</f>
        <v>0</v>
      </c>
      <c r="AA352" s="99">
        <f t="array" ref="AA352">SUM(IF($E348:$E350="Yes",AA348:AA350,0))</f>
        <v>0</v>
      </c>
      <c r="AB352" s="99">
        <f t="array" ref="AB352">SUM(IF($E348:$E350="Yes",AB348:AB350,0))</f>
        <v>0</v>
      </c>
      <c r="AC352" s="99">
        <f t="array" ref="AC352">SUM(IF($E348:$E350="Yes",AC348:AC350,0))</f>
        <v>0</v>
      </c>
      <c r="AD352" s="99">
        <f t="array" ref="AD352">SUM(IF($E348:$E350="Yes",AD348:AD350,0))</f>
        <v>0</v>
      </c>
      <c r="AE352" s="100">
        <f>SUM(S352:AD352)</f>
        <v>0</v>
      </c>
      <c r="AF352" s="100">
        <f t="array" ref="AF352">SUM(IF($E348:$E350="Yes",AF348:AF350,0))</f>
        <v>0</v>
      </c>
      <c r="AG352" s="100">
        <f t="array" ref="AG352">SUM(IF($E348:$E350="Yes",AG348:AG350,0))</f>
        <v>0</v>
      </c>
      <c r="AH352" s="100">
        <f t="array" ref="AH352">SUM(IF($E348:$E350="Yes",AH348:AH350,0))</f>
        <v>0</v>
      </c>
      <c r="AI352" s="304" t="s">
        <v>321</v>
      </c>
    </row>
    <row r="353" spans="1:35" s="99" customFormat="1">
      <c r="A353" s="96"/>
      <c r="B353" s="97"/>
      <c r="C353" s="98"/>
      <c r="D353" s="98"/>
      <c r="E353" s="98"/>
      <c r="R353" s="100"/>
      <c r="AE353" s="100"/>
      <c r="AF353" s="100"/>
      <c r="AG353" s="100"/>
      <c r="AH353" s="100"/>
      <c r="AI353" s="304" t="s">
        <v>321</v>
      </c>
    </row>
    <row r="354" spans="1:35">
      <c r="A354" s="83" t="s">
        <v>256</v>
      </c>
      <c r="B354" s="102"/>
      <c r="C354" s="85"/>
      <c r="D354" s="85"/>
      <c r="E354" s="85"/>
      <c r="F354" s="103">
        <f>F337+F344+F351</f>
        <v>2900</v>
      </c>
      <c r="G354" s="103">
        <f t="shared" ref="G354:Q355" si="472">G337+G344+G351</f>
        <v>0</v>
      </c>
      <c r="H354" s="103">
        <f t="shared" si="472"/>
        <v>0</v>
      </c>
      <c r="I354" s="103">
        <f t="shared" si="472"/>
        <v>0</v>
      </c>
      <c r="J354" s="103">
        <f t="shared" si="472"/>
        <v>0</v>
      </c>
      <c r="K354" s="103">
        <f t="shared" si="472"/>
        <v>2425</v>
      </c>
      <c r="L354" s="103">
        <f t="shared" si="472"/>
        <v>0</v>
      </c>
      <c r="M354" s="103">
        <f t="shared" si="472"/>
        <v>0</v>
      </c>
      <c r="N354" s="103">
        <f t="shared" si="472"/>
        <v>0</v>
      </c>
      <c r="O354" s="103">
        <f t="shared" si="472"/>
        <v>0</v>
      </c>
      <c r="P354" s="103">
        <f t="shared" si="472"/>
        <v>0</v>
      </c>
      <c r="Q354" s="103">
        <f t="shared" si="472"/>
        <v>0</v>
      </c>
      <c r="R354" s="104">
        <f>SUM(F354:Q354)</f>
        <v>5325</v>
      </c>
      <c r="S354" s="103">
        <f>S337+S344+S351</f>
        <v>5325</v>
      </c>
      <c r="T354" s="103">
        <f t="shared" ref="T354:AD355" si="473">T337+T344+T351</f>
        <v>2950</v>
      </c>
      <c r="U354" s="103">
        <f t="shared" si="473"/>
        <v>2950</v>
      </c>
      <c r="V354" s="103">
        <f t="shared" si="473"/>
        <v>0</v>
      </c>
      <c r="W354" s="103">
        <f t="shared" si="473"/>
        <v>0</v>
      </c>
      <c r="X354" s="103">
        <f t="shared" si="473"/>
        <v>0</v>
      </c>
      <c r="Y354" s="103">
        <f t="shared" si="473"/>
        <v>0</v>
      </c>
      <c r="Z354" s="103">
        <f t="shared" si="473"/>
        <v>0</v>
      </c>
      <c r="AA354" s="103">
        <f t="shared" si="473"/>
        <v>0</v>
      </c>
      <c r="AB354" s="103">
        <f t="shared" si="473"/>
        <v>0</v>
      </c>
      <c r="AC354" s="103">
        <f t="shared" si="473"/>
        <v>0</v>
      </c>
      <c r="AD354" s="103">
        <f t="shared" si="473"/>
        <v>0</v>
      </c>
      <c r="AE354" s="104">
        <f>SUM(S354:AD354)</f>
        <v>11225</v>
      </c>
      <c r="AF354" s="104">
        <f t="shared" ref="AF354:AH355" si="474">AF337+AF344+AF351</f>
        <v>6850</v>
      </c>
      <c r="AG354" s="104">
        <f t="shared" si="474"/>
        <v>11700</v>
      </c>
      <c r="AH354" s="104">
        <f t="shared" si="474"/>
        <v>5900</v>
      </c>
      <c r="AI354" s="304" t="s">
        <v>321</v>
      </c>
    </row>
    <row r="355" spans="1:35">
      <c r="A355" s="96"/>
      <c r="B355" s="97" t="s">
        <v>257</v>
      </c>
      <c r="C355" s="98"/>
      <c r="D355" s="98"/>
      <c r="E355" s="98"/>
      <c r="F355" s="98">
        <f>F338+F345+F352</f>
        <v>0</v>
      </c>
      <c r="G355" s="98">
        <f t="shared" si="472"/>
        <v>0</v>
      </c>
      <c r="H355" s="98">
        <f t="shared" si="472"/>
        <v>0</v>
      </c>
      <c r="I355" s="98">
        <f t="shared" si="472"/>
        <v>0</v>
      </c>
      <c r="J355" s="98">
        <f t="shared" si="472"/>
        <v>0</v>
      </c>
      <c r="K355" s="98">
        <f t="shared" si="472"/>
        <v>0</v>
      </c>
      <c r="L355" s="98">
        <f t="shared" si="472"/>
        <v>0</v>
      </c>
      <c r="M355" s="98">
        <f t="shared" si="472"/>
        <v>0</v>
      </c>
      <c r="N355" s="98">
        <f t="shared" si="472"/>
        <v>0</v>
      </c>
      <c r="O355" s="98">
        <f t="shared" si="472"/>
        <v>0</v>
      </c>
      <c r="P355" s="98">
        <f t="shared" si="472"/>
        <v>0</v>
      </c>
      <c r="Q355" s="98">
        <f t="shared" si="472"/>
        <v>0</v>
      </c>
      <c r="R355" s="100">
        <f>SUM(F355:Q355)</f>
        <v>0</v>
      </c>
      <c r="S355" s="98">
        <f>S338+S345+S352</f>
        <v>0</v>
      </c>
      <c r="T355" s="98">
        <f t="shared" si="473"/>
        <v>0</v>
      </c>
      <c r="U355" s="98">
        <f t="shared" si="473"/>
        <v>0</v>
      </c>
      <c r="V355" s="98">
        <f t="shared" si="473"/>
        <v>0</v>
      </c>
      <c r="W355" s="98">
        <f t="shared" si="473"/>
        <v>0</v>
      </c>
      <c r="X355" s="98">
        <f t="shared" si="473"/>
        <v>0</v>
      </c>
      <c r="Y355" s="98">
        <f t="shared" si="473"/>
        <v>0</v>
      </c>
      <c r="Z355" s="98">
        <f t="shared" si="473"/>
        <v>0</v>
      </c>
      <c r="AA355" s="98">
        <f t="shared" si="473"/>
        <v>0</v>
      </c>
      <c r="AB355" s="98">
        <f t="shared" si="473"/>
        <v>0</v>
      </c>
      <c r="AC355" s="98">
        <f t="shared" si="473"/>
        <v>0</v>
      </c>
      <c r="AD355" s="98">
        <f t="shared" si="473"/>
        <v>0</v>
      </c>
      <c r="AE355" s="100">
        <f>SUM(S355:AD355)</f>
        <v>0</v>
      </c>
      <c r="AF355" s="188">
        <f t="shared" si="474"/>
        <v>0</v>
      </c>
      <c r="AG355" s="188">
        <f t="shared" si="474"/>
        <v>0</v>
      </c>
      <c r="AH355" s="188">
        <f t="shared" si="474"/>
        <v>0</v>
      </c>
      <c r="AI355" s="304" t="s">
        <v>321</v>
      </c>
    </row>
    <row r="356" spans="1:35" ht="8.25" thickBot="1">
      <c r="A356" s="96"/>
      <c r="B356" s="97"/>
      <c r="C356" s="98"/>
      <c r="D356" s="98"/>
      <c r="E356" s="98"/>
      <c r="F356" s="99"/>
      <c r="G356" s="99"/>
      <c r="H356" s="99"/>
      <c r="I356" s="99"/>
      <c r="J356" s="99"/>
      <c r="K356" s="99"/>
      <c r="L356" s="99"/>
      <c r="M356" s="99"/>
      <c r="N356" s="99"/>
      <c r="O356" s="99"/>
      <c r="P356" s="99"/>
      <c r="Q356" s="99"/>
      <c r="R356" s="100"/>
      <c r="S356" s="99"/>
      <c r="T356" s="99"/>
      <c r="U356" s="99"/>
      <c r="V356" s="99"/>
      <c r="W356" s="99"/>
      <c r="X356" s="99"/>
      <c r="Y356" s="99"/>
      <c r="Z356" s="99"/>
      <c r="AA356" s="99"/>
      <c r="AB356" s="99"/>
      <c r="AC356" s="99"/>
      <c r="AD356" s="99"/>
      <c r="AE356" s="100"/>
      <c r="AF356" s="100"/>
      <c r="AG356" s="100"/>
      <c r="AH356" s="100"/>
      <c r="AI356" s="304" t="s">
        <v>321</v>
      </c>
    </row>
    <row r="357" spans="1:35" s="65" customFormat="1" ht="8.25" thickTop="1">
      <c r="A357" s="73" t="s">
        <v>51</v>
      </c>
      <c r="B357" s="74"/>
      <c r="C357" s="75"/>
      <c r="D357" s="75"/>
      <c r="E357" s="75"/>
      <c r="F357" s="75"/>
      <c r="G357" s="75"/>
      <c r="H357" s="75"/>
      <c r="I357" s="75"/>
      <c r="J357" s="75"/>
      <c r="K357" s="75"/>
      <c r="L357" s="75"/>
      <c r="M357" s="75"/>
      <c r="N357" s="75"/>
      <c r="O357" s="75"/>
      <c r="P357" s="75"/>
      <c r="Q357" s="75"/>
      <c r="R357" s="181"/>
      <c r="S357" s="75"/>
      <c r="T357" s="75"/>
      <c r="U357" s="75"/>
      <c r="V357" s="75"/>
      <c r="W357" s="75"/>
      <c r="X357" s="75"/>
      <c r="Y357" s="75"/>
      <c r="Z357" s="75"/>
      <c r="AA357" s="75"/>
      <c r="AB357" s="75"/>
      <c r="AC357" s="75"/>
      <c r="AD357" s="75"/>
      <c r="AE357" s="181"/>
      <c r="AF357" s="181"/>
      <c r="AG357" s="181"/>
      <c r="AH357" s="181"/>
      <c r="AI357" s="304" t="s">
        <v>321</v>
      </c>
    </row>
    <row r="358" spans="1:35" s="65" customFormat="1" ht="8.25" thickBot="1">
      <c r="A358" s="78" t="str">
        <f>$A$1</f>
        <v>PEP STRAW</v>
      </c>
      <c r="B358" s="79"/>
      <c r="C358" s="80"/>
      <c r="D358" s="80"/>
      <c r="E358" s="80"/>
      <c r="F358" s="80"/>
      <c r="G358" s="80"/>
      <c r="H358" s="80"/>
      <c r="I358" s="80"/>
      <c r="J358" s="80"/>
      <c r="K358" s="80"/>
      <c r="L358" s="80"/>
      <c r="M358" s="80"/>
      <c r="N358" s="80"/>
      <c r="O358" s="80"/>
      <c r="P358" s="80"/>
      <c r="Q358" s="80"/>
      <c r="R358" s="182"/>
      <c r="S358" s="80"/>
      <c r="T358" s="80"/>
      <c r="U358" s="80"/>
      <c r="V358" s="80"/>
      <c r="W358" s="80"/>
      <c r="X358" s="80"/>
      <c r="Y358" s="80"/>
      <c r="Z358" s="80"/>
      <c r="AA358" s="80"/>
      <c r="AB358" s="80"/>
      <c r="AC358" s="80"/>
      <c r="AD358" s="80"/>
      <c r="AE358" s="182"/>
      <c r="AF358" s="182"/>
      <c r="AG358" s="182"/>
      <c r="AH358" s="182"/>
      <c r="AI358" s="304" t="s">
        <v>321</v>
      </c>
    </row>
    <row r="359" spans="1:35" ht="8.25" thickTop="1">
      <c r="A359" s="83"/>
      <c r="B359" s="84">
        <f ca="1">NOW()</f>
        <v>44371.35163020833</v>
      </c>
      <c r="C359" s="91"/>
      <c r="D359" s="91"/>
      <c r="E359" s="91"/>
      <c r="F359" s="86" t="str">
        <f t="shared" ref="F359:Q359" si="475">F$8</f>
        <v>Month 1</v>
      </c>
      <c r="G359" s="86" t="str">
        <f t="shared" si="475"/>
        <v>Month 2</v>
      </c>
      <c r="H359" s="86" t="str">
        <f t="shared" si="475"/>
        <v>Month 3</v>
      </c>
      <c r="I359" s="86" t="str">
        <f t="shared" si="475"/>
        <v>Month 4</v>
      </c>
      <c r="J359" s="86" t="str">
        <f t="shared" si="475"/>
        <v>Month 5</v>
      </c>
      <c r="K359" s="86" t="str">
        <f t="shared" si="475"/>
        <v>Month 6</v>
      </c>
      <c r="L359" s="86" t="str">
        <f t="shared" si="475"/>
        <v>Month 7</v>
      </c>
      <c r="M359" s="86" t="str">
        <f t="shared" si="475"/>
        <v>Month 8</v>
      </c>
      <c r="N359" s="86" t="str">
        <f t="shared" si="475"/>
        <v>Month 9</v>
      </c>
      <c r="O359" s="86" t="str">
        <f t="shared" si="475"/>
        <v>Month 10</v>
      </c>
      <c r="P359" s="86" t="str">
        <f t="shared" si="475"/>
        <v>Month 11</v>
      </c>
      <c r="Q359" s="86" t="str">
        <f t="shared" si="475"/>
        <v>Month 12</v>
      </c>
      <c r="R359" s="87" t="s">
        <v>127</v>
      </c>
      <c r="S359" s="86" t="str">
        <f t="shared" ref="S359:AD359" si="476">S$8</f>
        <v>Month 13</v>
      </c>
      <c r="T359" s="86" t="str">
        <f t="shared" si="476"/>
        <v>Month 14</v>
      </c>
      <c r="U359" s="86" t="str">
        <f t="shared" si="476"/>
        <v>Month 15</v>
      </c>
      <c r="V359" s="86" t="str">
        <f t="shared" si="476"/>
        <v>Month 16</v>
      </c>
      <c r="W359" s="86" t="str">
        <f t="shared" si="476"/>
        <v>Month 17</v>
      </c>
      <c r="X359" s="86" t="str">
        <f t="shared" si="476"/>
        <v>Month 18</v>
      </c>
      <c r="Y359" s="86" t="str">
        <f t="shared" si="476"/>
        <v>Month 19</v>
      </c>
      <c r="Z359" s="86" t="str">
        <f t="shared" si="476"/>
        <v>Month 20</v>
      </c>
      <c r="AA359" s="86" t="str">
        <f t="shared" si="476"/>
        <v>Month 21</v>
      </c>
      <c r="AB359" s="86" t="str">
        <f t="shared" si="476"/>
        <v>Month 22</v>
      </c>
      <c r="AC359" s="86" t="str">
        <f t="shared" si="476"/>
        <v>Month 23</v>
      </c>
      <c r="AD359" s="86" t="str">
        <f t="shared" si="476"/>
        <v>Month 24</v>
      </c>
      <c r="AE359" s="87" t="s">
        <v>127</v>
      </c>
      <c r="AF359" s="87" t="str">
        <f>AF$8</f>
        <v>Total</v>
      </c>
      <c r="AG359" s="87" t="str">
        <f>AG$8</f>
        <v>Total</v>
      </c>
      <c r="AH359" s="87" t="str">
        <f>AH$8</f>
        <v>Total</v>
      </c>
      <c r="AI359" s="304" t="s">
        <v>321</v>
      </c>
    </row>
    <row r="360" spans="1:35">
      <c r="A360" s="89"/>
      <c r="B360" s="90">
        <f ca="1">NOW()</f>
        <v>44371.35163020833</v>
      </c>
      <c r="C360" s="91"/>
      <c r="D360" s="91"/>
      <c r="E360" s="91"/>
      <c r="F360" s="92">
        <f t="shared" ref="F360:AH360" si="477">F$1</f>
        <v>43466</v>
      </c>
      <c r="G360" s="92">
        <f t="shared" si="477"/>
        <v>43497</v>
      </c>
      <c r="H360" s="92">
        <f t="shared" si="477"/>
        <v>43528</v>
      </c>
      <c r="I360" s="92">
        <f t="shared" si="477"/>
        <v>43559</v>
      </c>
      <c r="J360" s="92">
        <f t="shared" si="477"/>
        <v>43590</v>
      </c>
      <c r="K360" s="92">
        <f t="shared" si="477"/>
        <v>43621</v>
      </c>
      <c r="L360" s="92">
        <f t="shared" si="477"/>
        <v>43652</v>
      </c>
      <c r="M360" s="92">
        <f t="shared" si="477"/>
        <v>43683</v>
      </c>
      <c r="N360" s="92">
        <f t="shared" si="477"/>
        <v>43714</v>
      </c>
      <c r="O360" s="92">
        <f t="shared" si="477"/>
        <v>43745</v>
      </c>
      <c r="P360" s="92">
        <f t="shared" si="477"/>
        <v>43776</v>
      </c>
      <c r="Q360" s="92">
        <f t="shared" si="477"/>
        <v>43807</v>
      </c>
      <c r="R360" s="93">
        <f t="shared" si="477"/>
        <v>43807</v>
      </c>
      <c r="S360" s="92">
        <f t="shared" si="477"/>
        <v>43838</v>
      </c>
      <c r="T360" s="92">
        <f t="shared" si="477"/>
        <v>43869</v>
      </c>
      <c r="U360" s="92">
        <f t="shared" si="477"/>
        <v>43900</v>
      </c>
      <c r="V360" s="92">
        <f t="shared" si="477"/>
        <v>43931</v>
      </c>
      <c r="W360" s="92">
        <f t="shared" si="477"/>
        <v>43962</v>
      </c>
      <c r="X360" s="92">
        <f t="shared" si="477"/>
        <v>43993</v>
      </c>
      <c r="Y360" s="92">
        <f t="shared" si="477"/>
        <v>44024</v>
      </c>
      <c r="Z360" s="92">
        <f t="shared" si="477"/>
        <v>44055</v>
      </c>
      <c r="AA360" s="92">
        <f t="shared" si="477"/>
        <v>44086</v>
      </c>
      <c r="AB360" s="92">
        <f t="shared" si="477"/>
        <v>44117</v>
      </c>
      <c r="AC360" s="92">
        <f t="shared" si="477"/>
        <v>44148</v>
      </c>
      <c r="AD360" s="92">
        <f t="shared" si="477"/>
        <v>44179</v>
      </c>
      <c r="AE360" s="93">
        <f t="shared" si="477"/>
        <v>44179</v>
      </c>
      <c r="AF360" s="93">
        <f t="shared" si="477"/>
        <v>44544</v>
      </c>
      <c r="AG360" s="93">
        <f t="shared" si="477"/>
        <v>44909</v>
      </c>
      <c r="AH360" s="93">
        <f t="shared" si="477"/>
        <v>45274</v>
      </c>
      <c r="AI360" s="304" t="s">
        <v>321</v>
      </c>
    </row>
    <row r="361" spans="1:35">
      <c r="A361" s="89"/>
      <c r="B361" s="90"/>
      <c r="C361" s="91"/>
      <c r="D361" s="91"/>
      <c r="E361" s="91"/>
      <c r="F361" s="92"/>
      <c r="G361" s="92"/>
      <c r="H361" s="92"/>
      <c r="I361" s="92"/>
      <c r="J361" s="92"/>
      <c r="K361" s="92"/>
      <c r="L361" s="92"/>
      <c r="M361" s="92"/>
      <c r="N361" s="92"/>
      <c r="O361" s="92"/>
      <c r="P361" s="92"/>
      <c r="Q361" s="92"/>
      <c r="R361" s="93"/>
      <c r="S361" s="92"/>
      <c r="T361" s="92"/>
      <c r="U361" s="92"/>
      <c r="V361" s="92"/>
      <c r="W361" s="92"/>
      <c r="X361" s="92"/>
      <c r="Y361" s="92"/>
      <c r="Z361" s="92"/>
      <c r="AA361" s="92"/>
      <c r="AB361" s="92"/>
      <c r="AC361" s="92"/>
      <c r="AD361" s="92"/>
      <c r="AE361" s="93"/>
      <c r="AF361" s="93"/>
      <c r="AG361" s="93"/>
      <c r="AH361" s="93"/>
      <c r="AI361" s="304" t="s">
        <v>321</v>
      </c>
    </row>
    <row r="362" spans="1:35">
      <c r="A362" s="89" t="str">
        <f>UPPER($A$259)</f>
        <v>ENGINEERING</v>
      </c>
      <c r="B362" s="97"/>
      <c r="C362" s="98"/>
      <c r="D362" s="98"/>
      <c r="E362" s="98"/>
      <c r="F362" s="99"/>
      <c r="G362" s="99"/>
      <c r="H362" s="99"/>
      <c r="I362" s="99"/>
      <c r="J362" s="99"/>
      <c r="K362" s="99"/>
      <c r="L362" s="99"/>
      <c r="M362" s="99"/>
      <c r="N362" s="99"/>
      <c r="O362" s="99"/>
      <c r="P362" s="99"/>
      <c r="Q362" s="99"/>
      <c r="R362" s="100"/>
      <c r="S362" s="99"/>
      <c r="T362" s="99"/>
      <c r="U362" s="99"/>
      <c r="V362" s="99"/>
      <c r="W362" s="99"/>
      <c r="X362" s="99"/>
      <c r="Y362" s="99"/>
      <c r="Z362" s="99"/>
      <c r="AA362" s="99"/>
      <c r="AB362" s="99"/>
      <c r="AC362" s="99"/>
      <c r="AD362" s="99"/>
      <c r="AE362" s="100"/>
      <c r="AF362" s="100"/>
      <c r="AG362" s="100"/>
      <c r="AH362" s="100"/>
      <c r="AI362" s="304" t="s">
        <v>321</v>
      </c>
    </row>
    <row r="363" spans="1:35">
      <c r="A363" s="96"/>
      <c r="B363" s="94" t="str">
        <f>B334&amp;" ("&amp;Assumptions!$E$53&amp;" years)"</f>
        <v>Computer Hardware (5 years)</v>
      </c>
      <c r="C363" s="146">
        <f>Assumptions!E53</f>
        <v>5</v>
      </c>
      <c r="D363" s="98"/>
      <c r="E363" s="98"/>
      <c r="F363" s="99">
        <f>SUM($F334:F334)/Assumptions!$E$53/12</f>
        <v>0</v>
      </c>
      <c r="G363" s="99">
        <f>SUM($F334:G334)/Assumptions!$E$53/12</f>
        <v>0</v>
      </c>
      <c r="H363" s="99">
        <f>SUM($F334:H334)/Assumptions!$E$53/12</f>
        <v>0</v>
      </c>
      <c r="I363" s="99">
        <f>SUM($F334:I334)/Assumptions!$E$53/12</f>
        <v>0</v>
      </c>
      <c r="J363" s="99">
        <f>SUM($F334:J334)/Assumptions!$E$53/12</f>
        <v>0</v>
      </c>
      <c r="K363" s="99">
        <f>SUM($F334:K334)/Assumptions!$E$53/12</f>
        <v>4.166666666666667</v>
      </c>
      <c r="L363" s="99">
        <f>SUM($F334:L334)/Assumptions!$E$53/12</f>
        <v>4.166666666666667</v>
      </c>
      <c r="M363" s="99">
        <f>SUM($F334:M334)/Assumptions!$E$53/12</f>
        <v>4.166666666666667</v>
      </c>
      <c r="N363" s="99">
        <f>SUM($F334:N334)/Assumptions!$E$53/12</f>
        <v>4.166666666666667</v>
      </c>
      <c r="O363" s="99">
        <f>SUM($F334:O334)/Assumptions!$E$53/12</f>
        <v>4.166666666666667</v>
      </c>
      <c r="P363" s="99">
        <f>SUM($F334:P334)/Assumptions!$E$53/12</f>
        <v>4.166666666666667</v>
      </c>
      <c r="Q363" s="99">
        <f>SUM($F334:Q334)/Assumptions!$E$53/12</f>
        <v>4.166666666666667</v>
      </c>
      <c r="R363" s="100">
        <f>SUM(F363:Q363)</f>
        <v>29.166666666666671</v>
      </c>
      <c r="S363" s="99">
        <f ca="1">IF(Assumptions!$E$53&gt;1,(SUM($F334:S334)-$R334)/Assumptions!$E$53/12,(SUM(OFFSET(S334,0,-((Assumptions!$E$53*12)+1)):S334)-$R334)/Assumptions!$E$53/12)</f>
        <v>8.3333333333333339</v>
      </c>
      <c r="T363" s="99">
        <f ca="1">IF(Assumptions!$E$53&gt;1,(SUM($F334:T334)-$R334)/Assumptions!$E$53/12,(SUM(OFFSET(T334,0,-((Assumptions!$E$53*12)+1)):T334)-$R334)/Assumptions!$E$53/12)</f>
        <v>8.3333333333333339</v>
      </c>
      <c r="U363" s="99">
        <f ca="1">IF(Assumptions!$E$53&gt;1,(SUM($F334:U334)-$R334)/Assumptions!$E$53/12,(SUM(OFFSET(U334,0,-((Assumptions!$E$53*12)+1)):U334)-$R334)/Assumptions!$E$53/12)</f>
        <v>8.3333333333333339</v>
      </c>
      <c r="V363" s="99">
        <f ca="1">IF(Assumptions!$E$53&gt;1,(SUM($F334:V334)-$R334)/Assumptions!$E$53/12,(SUM(OFFSET(V334,0,-((Assumptions!$E$53*12)+1)):V334)-$R334)/Assumptions!$E$53/12)</f>
        <v>8.3333333333333339</v>
      </c>
      <c r="W363" s="99">
        <f ca="1">IF(Assumptions!$E$53&gt;1,(SUM($F334:W334)-$R334)/Assumptions!$E$53/12,(SUM(OFFSET(W334,0,-((Assumptions!$E$53*12)+1)):W334)-$R334)/Assumptions!$E$53/12)</f>
        <v>8.3333333333333339</v>
      </c>
      <c r="X363" s="99">
        <f ca="1">IF(Assumptions!$E$53&gt;1,(SUM($F334:X334)-$R334)/Assumptions!$E$53/12,(SUM(OFFSET(X334,0,-((Assumptions!$E$53*12)+1)):X334)-$R334)/Assumptions!$E$53/12)</f>
        <v>8.3333333333333339</v>
      </c>
      <c r="Y363" s="99">
        <f ca="1">IF(Assumptions!$E$53&gt;1,(SUM($F334:Y334)-$R334)/Assumptions!$E$53/12,(SUM(OFFSET(Y334,0,-((Assumptions!$E$53*12)+1)):Y334)-$R334)/Assumptions!$E$53/12)</f>
        <v>8.3333333333333339</v>
      </c>
      <c r="Z363" s="99">
        <f ca="1">IF(Assumptions!$E$53&gt;1,(SUM($F334:Z334)-$R334)/Assumptions!$E$53/12,(SUM(OFFSET(Z334,0,-((Assumptions!$E$53*12)+1)):Z334)-$R334)/Assumptions!$E$53/12)</f>
        <v>8.3333333333333339</v>
      </c>
      <c r="AA363" s="99">
        <f ca="1">IF(Assumptions!$E$53&gt;1,(SUM($F334:AA334)-$R334)/Assumptions!$E$53/12,(SUM(OFFSET(AA334,0,-((Assumptions!$E$53*12)+1)):AA334)-$R334)/Assumptions!$E$53/12)</f>
        <v>8.3333333333333339</v>
      </c>
      <c r="AB363" s="99">
        <f ca="1">IF(Assumptions!$E$53&gt;1,(SUM($F334:AB334)-$R334)/Assumptions!$E$53/12,(SUM(OFFSET(AB334,0,-((Assumptions!$E$53*12)+1)):AB334)-$R334)/Assumptions!$E$53/12)</f>
        <v>8.3333333333333339</v>
      </c>
      <c r="AC363" s="99">
        <f ca="1">IF(Assumptions!$E$53&gt;1,(SUM($F334:AC334)-$R334)/Assumptions!$E$53/12,(SUM(OFFSET(AC334,0,-((Assumptions!$E$53*12)+1)):AC334)-$R334)/Assumptions!$E$53/12)</f>
        <v>8.3333333333333339</v>
      </c>
      <c r="AD363" s="99">
        <f ca="1">IF(Assumptions!$E$53&gt;1,(SUM($F334:AD334)-$R334)/Assumptions!$E$53/12,(SUM(OFFSET(AD334,0,-((Assumptions!$E$53*12)+1)):AD334)-$R334)/Assumptions!$E$53/12)</f>
        <v>8.3333333333333339</v>
      </c>
      <c r="AE363" s="100">
        <f ca="1">SUM(S363:AD363)</f>
        <v>99.999999999999986</v>
      </c>
      <c r="AF363" s="100">
        <f>IF(Assumptions!$E$53&gt;2,($AF334+$AE334+$R334)/Assumptions!$E$53,IF(Assumptions!$E$53&gt;1,($AF334+$AE334)/Assumptions!$E$53,($AF334)/Assumptions!$E$53))</f>
        <v>200</v>
      </c>
      <c r="AG363" s="100">
        <f>IF(Assumptions!$E$53&gt;3,($AG334+$AF334+$AE334+$R334)/Assumptions!$E$53,IF(Assumptions!$E$53&gt;2,($AG334 +$AF334+$AE334)/Assumptions!$E$53,IF(Assumptions!$E$53&gt;1,($AG334+$AF334)/Assumptions!$E$53,($AG334)/Assumptions!$E$53)))</f>
        <v>400</v>
      </c>
      <c r="AH363" s="100">
        <f>IF(Assumptions!$E$53&gt;4,($AH334+$AG334+$AF334+$AE334+$R334)/Assumptions!$E$53,IF(Assumptions!$E$53&gt;3,($AH334+$AG334 +$AF334+$AE334)/Assumptions!$E$53,IF(Assumptions!$E$53&gt;2,($AH334+$AG334+$AF334)/Assumptions!$E$53,IF(Assumptions!$E$53&gt;1,($AH334+$AG334)/Assumptions!$E$53,$AH334/Assumptions!$E$53))))</f>
        <v>400</v>
      </c>
      <c r="AI363" s="304" t="s">
        <v>321</v>
      </c>
    </row>
    <row r="364" spans="1:35">
      <c r="A364" s="96"/>
      <c r="B364" s="94" t="str">
        <f>B335&amp;" ("&amp;Assumptions!$F$53&amp;" years)"</f>
        <v>Computer Software (3 years)</v>
      </c>
      <c r="C364" s="146">
        <f>Assumptions!F53</f>
        <v>3</v>
      </c>
      <c r="D364" s="98"/>
      <c r="E364" s="98"/>
      <c r="F364" s="99">
        <f>SUM($F335:F335)/Assumptions!$F$53/12</f>
        <v>0</v>
      </c>
      <c r="G364" s="99">
        <f>SUM($F335:G335)/Assumptions!$F$53/12</f>
        <v>0</v>
      </c>
      <c r="H364" s="99">
        <f>SUM($F335:H335)/Assumptions!$F$53/12</f>
        <v>0</v>
      </c>
      <c r="I364" s="99">
        <f>SUM($F335:I335)/Assumptions!$F$53/12</f>
        <v>0</v>
      </c>
      <c r="J364" s="99">
        <f>SUM($F335:J335)/Assumptions!$F$53/12</f>
        <v>0</v>
      </c>
      <c r="K364" s="99">
        <f>SUM($F335:K335)/Assumptions!$F$53/12</f>
        <v>2.7777777777777781</v>
      </c>
      <c r="L364" s="99">
        <f>SUM($F335:L335)/Assumptions!$F$53/12</f>
        <v>2.7777777777777781</v>
      </c>
      <c r="M364" s="99">
        <f>SUM($F335:M335)/Assumptions!$F$53/12</f>
        <v>2.7777777777777781</v>
      </c>
      <c r="N364" s="99">
        <f>SUM($F335:N335)/Assumptions!$F$53/12</f>
        <v>2.7777777777777781</v>
      </c>
      <c r="O364" s="99">
        <f>SUM($F335:O335)/Assumptions!$F$53/12</f>
        <v>2.7777777777777781</v>
      </c>
      <c r="P364" s="99">
        <f>SUM($F335:P335)/Assumptions!$F$53/12</f>
        <v>2.7777777777777781</v>
      </c>
      <c r="Q364" s="99">
        <f>SUM($F335:Q335)/Assumptions!$F$53/12</f>
        <v>2.7777777777777781</v>
      </c>
      <c r="R364" s="100">
        <f>SUM(F364:Q364)</f>
        <v>19.444444444444446</v>
      </c>
      <c r="S364" s="99">
        <f ca="1">IF(Assumptions!$F$53&gt;1,(SUM($F335:S335)-$R335)/Assumptions!$F$53/12,(SUM(OFFSET(S335,0,-((Assumptions!$F$53*12)+1)):S335)-$R335)/Assumptions!$F$53/12)</f>
        <v>5.5555555555555562</v>
      </c>
      <c r="T364" s="99">
        <f ca="1">IF(Assumptions!$F$53&gt;1,(SUM($F335:T335)-$R335)/Assumptions!$F$53/12,(SUM(OFFSET(T335,0,-((Assumptions!$F$53*12)+1)):T335)-$R335)/Assumptions!$F$53/12)</f>
        <v>5.5555555555555562</v>
      </c>
      <c r="U364" s="99">
        <f ca="1">IF(Assumptions!$F$53&gt;1,(SUM($F335:U335)-$R335)/Assumptions!$F$53/12,(SUM(OFFSET(U335,0,-((Assumptions!$F$53*12)+1)):U335)-$R335)/Assumptions!$F$53/12)</f>
        <v>5.5555555555555562</v>
      </c>
      <c r="V364" s="99">
        <f ca="1">IF(Assumptions!$F$53&gt;1,(SUM($F335:V335)-$R335)/Assumptions!$F$53/12,(SUM(OFFSET(V335,0,-((Assumptions!$F$53*12)+1)):V335)-$R335)/Assumptions!$F$53/12)</f>
        <v>5.5555555555555562</v>
      </c>
      <c r="W364" s="99">
        <f ca="1">IF(Assumptions!$F$53&gt;1,(SUM($F335:W335)-$R335)/Assumptions!$F$53/12,(SUM(OFFSET(W335,0,-((Assumptions!$F$53*12)+1)):W335)-$R335)/Assumptions!$F$53/12)</f>
        <v>5.5555555555555562</v>
      </c>
      <c r="X364" s="99">
        <f ca="1">IF(Assumptions!$F$53&gt;1,(SUM($F335:X335)-$R335)/Assumptions!$F$53/12,(SUM(OFFSET(X335,0,-((Assumptions!$F$53*12)+1)):X335)-$R335)/Assumptions!$F$53/12)</f>
        <v>5.5555555555555562</v>
      </c>
      <c r="Y364" s="99">
        <f ca="1">IF(Assumptions!$F$53&gt;1,(SUM($F335:Y335)-$R335)/Assumptions!$F$53/12,(SUM(OFFSET(Y335,0,-((Assumptions!$F$53*12)+1)):Y335)-$R335)/Assumptions!$F$53/12)</f>
        <v>5.5555555555555562</v>
      </c>
      <c r="Z364" s="99">
        <f ca="1">IF(Assumptions!$F$53&gt;1,(SUM($F335:Z335)-$R335)/Assumptions!$F$53/12,(SUM(OFFSET(Z335,0,-((Assumptions!$F$53*12)+1)):Z335)-$R335)/Assumptions!$F$53/12)</f>
        <v>5.5555555555555562</v>
      </c>
      <c r="AA364" s="99">
        <f ca="1">IF(Assumptions!$F$53&gt;1,(SUM($F335:AA335)-$R335)/Assumptions!$F$53/12,(SUM(OFFSET(AA335,0,-((Assumptions!$F$53*12)+1)):AA335)-$R335)/Assumptions!$F$53/12)</f>
        <v>5.5555555555555562</v>
      </c>
      <c r="AB364" s="99">
        <f ca="1">IF(Assumptions!$F$53&gt;1,(SUM($F335:AB335)-$R335)/Assumptions!$F$53/12,(SUM(OFFSET(AB335,0,-((Assumptions!$F$53*12)+1)):AB335)-$R335)/Assumptions!$F$53/12)</f>
        <v>5.5555555555555562</v>
      </c>
      <c r="AC364" s="99">
        <f ca="1">IF(Assumptions!$F$53&gt;1,(SUM($F335:AC335)-$R335)/Assumptions!$F$53/12,(SUM(OFFSET(AC335,0,-((Assumptions!$F$53*12)+1)):AC335)-$R335)/Assumptions!$F$53/12)</f>
        <v>5.5555555555555562</v>
      </c>
      <c r="AD364" s="99">
        <f ca="1">IF(Assumptions!$F$53&gt;1,(SUM($F335:AD335)-$R335)/Assumptions!$F$53/12,(SUM(OFFSET(AD335,0,-((Assumptions!$F$53*12)+1)):AD335)-$R335)/Assumptions!$F$53/12)</f>
        <v>5.5555555555555562</v>
      </c>
      <c r="AE364" s="100">
        <f ca="1">SUM(S364:AD364)</f>
        <v>66.666666666666671</v>
      </c>
      <c r="AF364" s="100">
        <f>IF(Assumptions!$F$53&gt;2,($AF335+$AE335+$R335)/Assumptions!$F$53,IF(Assumptions!$F$53&gt;1,($AF335+$AE335)/Assumptions!$F$53,($AF335)/Assumptions!$F$53))</f>
        <v>133.33333333333334</v>
      </c>
      <c r="AG364" s="100">
        <f>IF(Assumptions!$F$53&gt;3,($AG335+$AF335+$AE335+$R335)/Assumptions!$F$53,IF(Assumptions!$F$53&gt;2,($AG335 +$AF335+$AE335)/Assumptions!$F$53,IF(Assumptions!$F$53&gt;1,($AG335+$AF335)/Assumptions!$F$53,($AG335)/Assumptions!$F$53)))</f>
        <v>233.33333333333334</v>
      </c>
      <c r="AH364" s="100">
        <f>IF(Assumptions!$F$53&gt;4,($AH335+$AG335+$AF335+$AE335+$R335)/Assumptions!$F$53,IF(Assumptions!$F$53&gt;3,($AH335+$AG335 +$AF335+$AE335)/Assumptions!$F$53,IF(Assumptions!$F$53&gt;2,($AH335+$AG335+$AF335)/Assumptions!$F$53,IF(Assumptions!$F$53&gt;1,($AH335+$AG335)/Assumptions!$F$53,$AH335/Assumptions!$F$53))))</f>
        <v>200</v>
      </c>
      <c r="AI364" s="304" t="s">
        <v>321</v>
      </c>
    </row>
    <row r="365" spans="1:35">
      <c r="A365" s="96"/>
      <c r="B365" s="94" t="str">
        <f>B336&amp;" ("&amp;Assumptions!$G$53&amp;" years)"</f>
        <v>Furniture &amp; Fixtures (5 years)</v>
      </c>
      <c r="C365" s="146">
        <f>Assumptions!G53</f>
        <v>5</v>
      </c>
      <c r="D365" s="98"/>
      <c r="E365" s="98"/>
      <c r="F365" s="99">
        <f>SUM($F336:F336)/Assumptions!$G$53/12</f>
        <v>0</v>
      </c>
      <c r="G365" s="99">
        <f>SUM($F336:G336)/Assumptions!$G$53/12</f>
        <v>0</v>
      </c>
      <c r="H365" s="99">
        <f>SUM($F336:H336)/Assumptions!$G$53/12</f>
        <v>0</v>
      </c>
      <c r="I365" s="99">
        <f>SUM($F336:I336)/Assumptions!$G$53/12</f>
        <v>0</v>
      </c>
      <c r="J365" s="99">
        <f>SUM($F336:J336)/Assumptions!$G$53/12</f>
        <v>0</v>
      </c>
      <c r="K365" s="99">
        <f>SUM($F336:K336)/Assumptions!$G$53/12</f>
        <v>2.0833333333333335</v>
      </c>
      <c r="L365" s="99">
        <f>SUM($F336:L336)/Assumptions!$G$53/12</f>
        <v>2.0833333333333335</v>
      </c>
      <c r="M365" s="99">
        <f>SUM($F336:M336)/Assumptions!$G$53/12</f>
        <v>2.0833333333333335</v>
      </c>
      <c r="N365" s="99">
        <f>SUM($F336:N336)/Assumptions!$G$53/12</f>
        <v>2.0833333333333335</v>
      </c>
      <c r="O365" s="99">
        <f>SUM($F336:O336)/Assumptions!$G$53/12</f>
        <v>2.0833333333333335</v>
      </c>
      <c r="P365" s="99">
        <f>SUM($F336:P336)/Assumptions!$G$53/12</f>
        <v>2.0833333333333335</v>
      </c>
      <c r="Q365" s="99">
        <f>SUM($F336:Q336)/Assumptions!$G$53/12</f>
        <v>2.0833333333333335</v>
      </c>
      <c r="R365" s="100">
        <f>SUM(F365:Q365)</f>
        <v>14.583333333333336</v>
      </c>
      <c r="S365" s="99">
        <f ca="1">IF(Assumptions!$G$53&gt;1,(SUM($F336:S336)-$R336)/Assumptions!$G$53/12,(SUM(OFFSET(S336,0,-((Assumptions!$G$53*12)+1)):S336)-$R336)/Assumptions!$G$53/12)</f>
        <v>4.166666666666667</v>
      </c>
      <c r="T365" s="99">
        <f ca="1">IF(Assumptions!$G$53&gt;1,(SUM($F336:T336)-$R336)/Assumptions!$G$53/12,(SUM(OFFSET(T336,0,-((Assumptions!$G$53*12)+1)):T336)-$R336)/Assumptions!$G$53/12)</f>
        <v>4.166666666666667</v>
      </c>
      <c r="U365" s="99">
        <f ca="1">IF(Assumptions!$G$53&gt;1,(SUM($F336:U336)-$R336)/Assumptions!$G$53/12,(SUM(OFFSET(U336,0,-((Assumptions!$G$53*12)+1)):U336)-$R336)/Assumptions!$G$53/12)</f>
        <v>4.166666666666667</v>
      </c>
      <c r="V365" s="99">
        <f ca="1">IF(Assumptions!$G$53&gt;1,(SUM($F336:V336)-$R336)/Assumptions!$G$53/12,(SUM(OFFSET(V336,0,-((Assumptions!$G$53*12)+1)):V336)-$R336)/Assumptions!$G$53/12)</f>
        <v>4.166666666666667</v>
      </c>
      <c r="W365" s="99">
        <f ca="1">IF(Assumptions!$G$53&gt;1,(SUM($F336:W336)-$R336)/Assumptions!$G$53/12,(SUM(OFFSET(W336,0,-((Assumptions!$G$53*12)+1)):W336)-$R336)/Assumptions!$G$53/12)</f>
        <v>4.166666666666667</v>
      </c>
      <c r="X365" s="99">
        <f ca="1">IF(Assumptions!$G$53&gt;1,(SUM($F336:X336)-$R336)/Assumptions!$G$53/12,(SUM(OFFSET(X336,0,-((Assumptions!$G$53*12)+1)):X336)-$R336)/Assumptions!$G$53/12)</f>
        <v>4.166666666666667</v>
      </c>
      <c r="Y365" s="99">
        <f ca="1">IF(Assumptions!$G$53&gt;1,(SUM($F336:Y336)-$R336)/Assumptions!$G$53/12,(SUM(OFFSET(Y336,0,-((Assumptions!$G$53*12)+1)):Y336)-$R336)/Assumptions!$G$53/12)</f>
        <v>4.166666666666667</v>
      </c>
      <c r="Z365" s="99">
        <f ca="1">IF(Assumptions!$G$53&gt;1,(SUM($F336:Z336)-$R336)/Assumptions!$G$53/12,(SUM(OFFSET(Z336,0,-((Assumptions!$G$53*12)+1)):Z336)-$R336)/Assumptions!$G$53/12)</f>
        <v>4.166666666666667</v>
      </c>
      <c r="AA365" s="99">
        <f ca="1">IF(Assumptions!$G$53&gt;1,(SUM($F336:AA336)-$R336)/Assumptions!$G$53/12,(SUM(OFFSET(AA336,0,-((Assumptions!$G$53*12)+1)):AA336)-$R336)/Assumptions!$G$53/12)</f>
        <v>4.166666666666667</v>
      </c>
      <c r="AB365" s="99">
        <f ca="1">IF(Assumptions!$G$53&gt;1,(SUM($F336:AB336)-$R336)/Assumptions!$G$53/12,(SUM(OFFSET(AB336,0,-((Assumptions!$G$53*12)+1)):AB336)-$R336)/Assumptions!$G$53/12)</f>
        <v>4.166666666666667</v>
      </c>
      <c r="AC365" s="99">
        <f ca="1">IF(Assumptions!$G$53&gt;1,(SUM($F336:AC336)-$R336)/Assumptions!$G$53/12,(SUM(OFFSET(AC336,0,-((Assumptions!$G$53*12)+1)):AC336)-$R336)/Assumptions!$G$53/12)</f>
        <v>4.166666666666667</v>
      </c>
      <c r="AD365" s="99">
        <f ca="1">IF(Assumptions!$G$53&gt;1,(SUM($F336:AD336)-$R336)/Assumptions!$G$53/12,(SUM(OFFSET(AD336,0,-((Assumptions!$G$53*12)+1)):AD336)-$R336)/Assumptions!$G$53/12)</f>
        <v>4.166666666666667</v>
      </c>
      <c r="AE365" s="100">
        <f ca="1">SUM(S365:AD365)</f>
        <v>49.999999999999993</v>
      </c>
      <c r="AF365" s="100">
        <f>IF(Assumptions!$G$53&gt;2,($AF336+$AE336+$R336)/Assumptions!$G$53,IF(Assumptions!$G$53&gt;1,($AF336+$AE336)/Assumptions!$G$53,($AF336)/Assumptions!$G$53))</f>
        <v>100</v>
      </c>
      <c r="AG365" s="100">
        <f>IF(Assumptions!$G$53&gt;3,($AG336+$AF336+$AE336+$R336)/Assumptions!$G$53,IF(Assumptions!$G$53&gt;2,($AG336 +$AF336+$AE336)/Assumptions!$G$53,IF(Assumptions!$G$53&gt;1,($AG336+$AF336)/Assumptions!$G$53,($AG336)/Assumptions!$G$53)))</f>
        <v>200</v>
      </c>
      <c r="AH365" s="100">
        <f>IF(Assumptions!$G$53&gt;4,($AH336+$AG336+$AF336+$AE336+$R336)/Assumptions!$G$53,IF(Assumptions!$G$53&gt;3,($AH336+$AG336 +$AF336+$AE336)/Assumptions!$G$53,IF(Assumptions!$G$53&gt;2,($AH336+$AG336+$AF336)/Assumptions!$G$53,IF(Assumptions!$G$53&gt;1,($AH336+$AG336)/Assumptions!$G$53,$AH336/Assumptions!$G$53))))</f>
        <v>200</v>
      </c>
      <c r="AI365" s="304" t="s">
        <v>321</v>
      </c>
    </row>
    <row r="366" spans="1:35">
      <c r="A366" s="189" t="s">
        <v>258</v>
      </c>
      <c r="B366" s="102"/>
      <c r="C366" s="85"/>
      <c r="D366" s="85"/>
      <c r="E366" s="85"/>
      <c r="F366" s="103">
        <f t="shared" ref="F366:Q366" si="478">SUM(F363:F365)</f>
        <v>0</v>
      </c>
      <c r="G366" s="103">
        <f>SUM(G363:G365)</f>
        <v>0</v>
      </c>
      <c r="H366" s="103">
        <f t="shared" si="478"/>
        <v>0</v>
      </c>
      <c r="I366" s="103">
        <f t="shared" si="478"/>
        <v>0</v>
      </c>
      <c r="J366" s="103">
        <f t="shared" si="478"/>
        <v>0</v>
      </c>
      <c r="K366" s="103">
        <f t="shared" si="478"/>
        <v>9.0277777777777786</v>
      </c>
      <c r="L366" s="103">
        <f t="shared" si="478"/>
        <v>9.0277777777777786</v>
      </c>
      <c r="M366" s="103">
        <f t="shared" si="478"/>
        <v>9.0277777777777786</v>
      </c>
      <c r="N366" s="103">
        <f t="shared" si="478"/>
        <v>9.0277777777777786</v>
      </c>
      <c r="O366" s="103">
        <f t="shared" si="478"/>
        <v>9.0277777777777786</v>
      </c>
      <c r="P366" s="103">
        <f t="shared" si="478"/>
        <v>9.0277777777777786</v>
      </c>
      <c r="Q366" s="103">
        <f t="shared" si="478"/>
        <v>9.0277777777777786</v>
      </c>
      <c r="R366" s="104">
        <f>SUM(F366:Q366)</f>
        <v>63.19444444444445</v>
      </c>
      <c r="S366" s="103">
        <f t="shared" ref="S366:AD366" ca="1" si="479">SUM(S363:S365)</f>
        <v>18.055555555555557</v>
      </c>
      <c r="T366" s="103">
        <f t="shared" ca="1" si="479"/>
        <v>18.055555555555557</v>
      </c>
      <c r="U366" s="103">
        <f t="shared" ca="1" si="479"/>
        <v>18.055555555555557</v>
      </c>
      <c r="V366" s="103">
        <f t="shared" ca="1" si="479"/>
        <v>18.055555555555557</v>
      </c>
      <c r="W366" s="103">
        <f t="shared" ca="1" si="479"/>
        <v>18.055555555555557</v>
      </c>
      <c r="X366" s="103">
        <f t="shared" ca="1" si="479"/>
        <v>18.055555555555557</v>
      </c>
      <c r="Y366" s="103">
        <f t="shared" ca="1" si="479"/>
        <v>18.055555555555557</v>
      </c>
      <c r="Z366" s="103">
        <f t="shared" ca="1" si="479"/>
        <v>18.055555555555557</v>
      </c>
      <c r="AA366" s="103">
        <f t="shared" ca="1" si="479"/>
        <v>18.055555555555557</v>
      </c>
      <c r="AB366" s="103">
        <f t="shared" ca="1" si="479"/>
        <v>18.055555555555557</v>
      </c>
      <c r="AC366" s="103">
        <f t="shared" ca="1" si="479"/>
        <v>18.055555555555557</v>
      </c>
      <c r="AD366" s="103">
        <f t="shared" ca="1" si="479"/>
        <v>18.055555555555557</v>
      </c>
      <c r="AE366" s="104">
        <f ca="1">SUM(S366:AD366)</f>
        <v>216.66666666666663</v>
      </c>
      <c r="AF366" s="104">
        <f>SUM(AF363:AF365)</f>
        <v>433.33333333333337</v>
      </c>
      <c r="AG366" s="104">
        <f>SUM(AG363:AG365)</f>
        <v>833.33333333333337</v>
      </c>
      <c r="AH366" s="104">
        <f>SUM(AH363:AH365)</f>
        <v>800</v>
      </c>
      <c r="AI366" s="304" t="s">
        <v>321</v>
      </c>
    </row>
    <row r="367" spans="1:35">
      <c r="A367" s="96"/>
      <c r="B367" s="97"/>
      <c r="C367" s="98"/>
      <c r="D367" s="98"/>
      <c r="E367" s="98"/>
      <c r="F367" s="99"/>
      <c r="G367" s="99"/>
      <c r="H367" s="99"/>
      <c r="I367" s="99"/>
      <c r="J367" s="99"/>
      <c r="K367" s="99"/>
      <c r="L367" s="99"/>
      <c r="M367" s="99"/>
      <c r="N367" s="99"/>
      <c r="O367" s="99"/>
      <c r="P367" s="99"/>
      <c r="Q367" s="99"/>
      <c r="R367" s="100"/>
      <c r="S367" s="99"/>
      <c r="T367" s="99"/>
      <c r="U367" s="99"/>
      <c r="V367" s="99"/>
      <c r="W367" s="99"/>
      <c r="X367" s="99"/>
      <c r="Y367" s="99"/>
      <c r="Z367" s="99"/>
      <c r="AA367" s="99"/>
      <c r="AB367" s="99"/>
      <c r="AC367" s="99"/>
      <c r="AD367" s="99"/>
      <c r="AE367" s="100"/>
      <c r="AF367" s="100"/>
      <c r="AG367" s="100"/>
      <c r="AH367" s="100"/>
      <c r="AI367" s="304" t="s">
        <v>321</v>
      </c>
    </row>
    <row r="368" spans="1:35">
      <c r="A368" s="89" t="str">
        <f>UPPER($A$269)</f>
        <v>SALES &amp; MARKETING</v>
      </c>
      <c r="B368" s="97"/>
      <c r="C368" s="98"/>
      <c r="D368" s="98"/>
      <c r="E368" s="98"/>
      <c r="F368" s="99"/>
      <c r="G368" s="99"/>
      <c r="H368" s="99"/>
      <c r="I368" s="99"/>
      <c r="J368" s="99"/>
      <c r="K368" s="99"/>
      <c r="L368" s="99"/>
      <c r="M368" s="99"/>
      <c r="N368" s="99"/>
      <c r="O368" s="99"/>
      <c r="P368" s="99"/>
      <c r="Q368" s="99"/>
      <c r="R368" s="100"/>
      <c r="S368" s="99"/>
      <c r="T368" s="99"/>
      <c r="U368" s="99"/>
      <c r="V368" s="99"/>
      <c r="W368" s="99"/>
      <c r="X368" s="99"/>
      <c r="Y368" s="99"/>
      <c r="Z368" s="99"/>
      <c r="AA368" s="99"/>
      <c r="AB368" s="99"/>
      <c r="AC368" s="99"/>
      <c r="AD368" s="99"/>
      <c r="AE368" s="100"/>
      <c r="AF368" s="100"/>
      <c r="AG368" s="100"/>
      <c r="AH368" s="100"/>
      <c r="AI368" s="304" t="s">
        <v>321</v>
      </c>
    </row>
    <row r="369" spans="1:35">
      <c r="A369" s="96"/>
      <c r="B369" s="94" t="str">
        <f>B341&amp;" ("&amp;Assumptions!$E$54&amp;" years)"</f>
        <v>Computer Hardware (3 years)</v>
      </c>
      <c r="C369" s="146">
        <f>Assumptions!E54</f>
        <v>3</v>
      </c>
      <c r="D369" s="70"/>
      <c r="E369" s="70"/>
      <c r="F369" s="99">
        <f>SUM($F341:F341)/Assumptions!$E$54/12</f>
        <v>34.722222222222221</v>
      </c>
      <c r="G369" s="99">
        <f>SUM($F341:G341)/Assumptions!$E$54/12</f>
        <v>34.722222222222221</v>
      </c>
      <c r="H369" s="99">
        <f>SUM($F341:H341)/Assumptions!$E$54/12</f>
        <v>34.722222222222221</v>
      </c>
      <c r="I369" s="99">
        <f>SUM($F341:I341)/Assumptions!$E$54/12</f>
        <v>34.722222222222221</v>
      </c>
      <c r="J369" s="99">
        <f>SUM($F341:J341)/Assumptions!$E$54/12</f>
        <v>34.722222222222221</v>
      </c>
      <c r="K369" s="99">
        <f>SUM($F341:K341)/Assumptions!$E$54/12</f>
        <v>69.444444444444443</v>
      </c>
      <c r="L369" s="99">
        <f>SUM($F341:L341)/Assumptions!$E$54/12</f>
        <v>69.444444444444443</v>
      </c>
      <c r="M369" s="99">
        <f>SUM($F341:M341)/Assumptions!$E$54/12</f>
        <v>69.444444444444443</v>
      </c>
      <c r="N369" s="99">
        <f>SUM($F341:N341)/Assumptions!$E$54/12</f>
        <v>69.444444444444443</v>
      </c>
      <c r="O369" s="99">
        <f>SUM($F341:O341)/Assumptions!$E$54/12</f>
        <v>69.444444444444443</v>
      </c>
      <c r="P369" s="99">
        <f>SUM($F341:P341)/Assumptions!$E$54/12</f>
        <v>69.444444444444443</v>
      </c>
      <c r="Q369" s="99">
        <f>SUM($F341:Q341)/Assumptions!$E$54/12</f>
        <v>69.444444444444443</v>
      </c>
      <c r="R369" s="100">
        <f>SUM(F369:Q369)</f>
        <v>659.72222222222229</v>
      </c>
      <c r="S369" s="99">
        <f ca="1">IF(Assumptions!$E$54&gt;1,(SUM($F341:S341)-$R341)/Assumptions!$E$54/12,(SUM(OFFSET(S341,0,-((Assumptions!$E$54*12)+1)):S341)-$R341)/Assumptions!$E$54/12)</f>
        <v>138.88888888888889</v>
      </c>
      <c r="T369" s="99">
        <f ca="1">IF(Assumptions!$E$54&gt;1,(SUM($F341:T341)-$R341)/Assumptions!$E$54/12,(SUM(OFFSET(T341,0,-((Assumptions!$E$54*12)+1)):T341)-$R341)/Assumptions!$E$54/12)</f>
        <v>208.33333333333334</v>
      </c>
      <c r="U369" s="99">
        <f ca="1">IF(Assumptions!$E$54&gt;1,(SUM($F341:U341)-$R341)/Assumptions!$E$54/12,(SUM(OFFSET(U341,0,-((Assumptions!$E$54*12)+1)):U341)-$R341)/Assumptions!$E$54/12)</f>
        <v>277.77777777777777</v>
      </c>
      <c r="V369" s="99">
        <f ca="1">IF(Assumptions!$E$54&gt;1,(SUM($F341:V341)-$R341)/Assumptions!$E$54/12,(SUM(OFFSET(V341,0,-((Assumptions!$E$54*12)+1)):V341)-$R341)/Assumptions!$E$54/12)</f>
        <v>277.77777777777777</v>
      </c>
      <c r="W369" s="99">
        <f ca="1">IF(Assumptions!$E$54&gt;1,(SUM($F341:W341)-$R341)/Assumptions!$E$54/12,(SUM(OFFSET(W341,0,-((Assumptions!$E$54*12)+1)):W341)-$R341)/Assumptions!$E$54/12)</f>
        <v>277.77777777777777</v>
      </c>
      <c r="X369" s="99">
        <f ca="1">IF(Assumptions!$E$54&gt;1,(SUM($F341:X341)-$R341)/Assumptions!$E$54/12,(SUM(OFFSET(X341,0,-((Assumptions!$E$54*12)+1)):X341)-$R341)/Assumptions!$E$54/12)</f>
        <v>277.77777777777777</v>
      </c>
      <c r="Y369" s="99">
        <f ca="1">IF(Assumptions!$E$54&gt;1,(SUM($F341:Y341)-$R341)/Assumptions!$E$54/12,(SUM(OFFSET(Y341,0,-((Assumptions!$E$54*12)+1)):Y341)-$R341)/Assumptions!$E$54/12)</f>
        <v>277.77777777777777</v>
      </c>
      <c r="Z369" s="99">
        <f ca="1">IF(Assumptions!$E$54&gt;1,(SUM($F341:Z341)-$R341)/Assumptions!$E$54/12,(SUM(OFFSET(Z341,0,-((Assumptions!$E$54*12)+1)):Z341)-$R341)/Assumptions!$E$54/12)</f>
        <v>277.77777777777777</v>
      </c>
      <c r="AA369" s="99">
        <f ca="1">IF(Assumptions!$E$54&gt;1,(SUM($F341:AA341)-$R341)/Assumptions!$E$54/12,(SUM(OFFSET(AA341,0,-((Assumptions!$E$54*12)+1)):AA341)-$R341)/Assumptions!$E$54/12)</f>
        <v>277.77777777777777</v>
      </c>
      <c r="AB369" s="99">
        <f ca="1">IF(Assumptions!$E$54&gt;1,(SUM($F341:AB341)-$R341)/Assumptions!$E$54/12,(SUM(OFFSET(AB341,0,-((Assumptions!$E$54*12)+1)):AB341)-$R341)/Assumptions!$E$54/12)</f>
        <v>277.77777777777777</v>
      </c>
      <c r="AC369" s="99">
        <f ca="1">IF(Assumptions!$E$54&gt;1,(SUM($F341:AC341)-$R341)/Assumptions!$E$54/12,(SUM(OFFSET(AC341,0,-((Assumptions!$E$54*12)+1)):AC341)-$R341)/Assumptions!$E$54/12)</f>
        <v>277.77777777777777</v>
      </c>
      <c r="AD369" s="99">
        <f ca="1">IF(Assumptions!$E$54&gt;1,(SUM($F341:AD341)-$R341)/Assumptions!$E$54/12,(SUM(OFFSET(AD341,0,-((Assumptions!$E$54*12)+1)):AD341)-$R341)/Assumptions!$E$54/12)</f>
        <v>277.77777777777777</v>
      </c>
      <c r="AE369" s="100">
        <f ca="1">SUM(S369:AD369)</f>
        <v>3125.0000000000005</v>
      </c>
      <c r="AF369" s="100">
        <f>IF(Assumptions!$E$54&gt;2,($AF341+$AE341+$R341)/Assumptions!$E$54,IF(Assumptions!$E$54&gt;1,($AF341+$AE341)/Assumptions!$E$54,($AF341)/Assumptions!$E$54))</f>
        <v>5000</v>
      </c>
      <c r="AG369" s="100">
        <f>IF(Assumptions!$E$54&gt;3,($AG341+$AF341+$AE341+$R341)/Assumptions!$E$54,IF(Assumptions!$E$54&gt;2,($AG341 +$AF341+$AE341)/Assumptions!$E$54,IF(Assumptions!$E$54&gt;1,($AG341+$AF341)/Assumptions!$E$54,($AG341)/Assumptions!$E$54)))</f>
        <v>6666.666666666667</v>
      </c>
      <c r="AH369" s="100">
        <f>IF(Assumptions!$E$54&gt;4,($AH341+$AG341+$AF341+$AE341+$R341)/Assumptions!$E$54,IF(Assumptions!$E$54&gt;3,($AH341+$AG341 +$AF341+$AE341)/Assumptions!$E$54,IF(Assumptions!$E$54&gt;2,($AH341+$AG341+$AF341)/Assumptions!$E$54,IF(Assumptions!$E$54&gt;1,($AH341+$AG341)/Assumptions!$E$54,$AH341/Assumptions!$E$54))))</f>
        <v>5833.333333333333</v>
      </c>
      <c r="AI369" s="304" t="s">
        <v>321</v>
      </c>
    </row>
    <row r="370" spans="1:35">
      <c r="A370" s="96"/>
      <c r="B370" s="94" t="str">
        <f>B342&amp;" ("&amp;Assumptions!$F$54&amp;" years)"</f>
        <v>Computer Software (3 years)</v>
      </c>
      <c r="C370" s="146">
        <f>Assumptions!F54</f>
        <v>3</v>
      </c>
      <c r="D370" s="70"/>
      <c r="E370" s="70"/>
      <c r="F370" s="99">
        <f>SUM($F342:F342)/Assumptions!$F$54/12</f>
        <v>2.7777777777777781</v>
      </c>
      <c r="G370" s="99">
        <f>SUM($F342:G342)/Assumptions!$F$54/12</f>
        <v>2.7777777777777781</v>
      </c>
      <c r="H370" s="99">
        <f>SUM($F342:H342)/Assumptions!$F$54/12</f>
        <v>2.7777777777777781</v>
      </c>
      <c r="I370" s="99">
        <f>SUM($F342:I342)/Assumptions!$F$54/12</f>
        <v>2.7777777777777781</v>
      </c>
      <c r="J370" s="99">
        <f>SUM($F342:J342)/Assumptions!$F$54/12</f>
        <v>2.7777777777777781</v>
      </c>
      <c r="K370" s="99">
        <f>SUM($F342:K342)/Assumptions!$F$54/12</f>
        <v>5.5555555555555562</v>
      </c>
      <c r="L370" s="99">
        <f>SUM($F342:L342)/Assumptions!$F$54/12</f>
        <v>5.5555555555555562</v>
      </c>
      <c r="M370" s="99">
        <f>SUM($F342:M342)/Assumptions!$F$54/12</f>
        <v>5.5555555555555562</v>
      </c>
      <c r="N370" s="99">
        <f>SUM($F342:N342)/Assumptions!$F$54/12</f>
        <v>5.5555555555555562</v>
      </c>
      <c r="O370" s="99">
        <f>SUM($F342:O342)/Assumptions!$F$54/12</f>
        <v>5.5555555555555562</v>
      </c>
      <c r="P370" s="99">
        <f>SUM($F342:P342)/Assumptions!$F$54/12</f>
        <v>5.5555555555555562</v>
      </c>
      <c r="Q370" s="99">
        <f>SUM($F342:Q342)/Assumptions!$F$54/12</f>
        <v>5.5555555555555562</v>
      </c>
      <c r="R370" s="100">
        <f>SUM(F370:Q370)</f>
        <v>52.777777777777786</v>
      </c>
      <c r="S370" s="99">
        <f ca="1">IF(Assumptions!$F$54&gt;1,(SUM($F342:S342)-$R342)/Assumptions!$F$54/12,(SUM(OFFSET(S342,0,-((Assumptions!$F$54*12)+1)):S342)-$R342)/Assumptions!$F$54/12)</f>
        <v>11.111111111111112</v>
      </c>
      <c r="T370" s="99">
        <f ca="1">IF(Assumptions!$F$54&gt;1,(SUM($F342:T342)-$R342)/Assumptions!$F$54/12,(SUM(OFFSET(T342,0,-((Assumptions!$F$54*12)+1)):T342)-$R342)/Assumptions!$F$54/12)</f>
        <v>16.666666666666668</v>
      </c>
      <c r="U370" s="99">
        <f ca="1">IF(Assumptions!$F$54&gt;1,(SUM($F342:U342)-$R342)/Assumptions!$F$54/12,(SUM(OFFSET(U342,0,-((Assumptions!$F$54*12)+1)):U342)-$R342)/Assumptions!$F$54/12)</f>
        <v>22.222222222222225</v>
      </c>
      <c r="V370" s="99">
        <f ca="1">IF(Assumptions!$F$54&gt;1,(SUM($F342:V342)-$R342)/Assumptions!$F$54/12,(SUM(OFFSET(V342,0,-((Assumptions!$F$54*12)+1)):V342)-$R342)/Assumptions!$F$54/12)</f>
        <v>22.222222222222225</v>
      </c>
      <c r="W370" s="99">
        <f ca="1">IF(Assumptions!$F$54&gt;1,(SUM($F342:W342)-$R342)/Assumptions!$F$54/12,(SUM(OFFSET(W342,0,-((Assumptions!$F$54*12)+1)):W342)-$R342)/Assumptions!$F$54/12)</f>
        <v>22.222222222222225</v>
      </c>
      <c r="X370" s="99">
        <f ca="1">IF(Assumptions!$F$54&gt;1,(SUM($F342:X342)-$R342)/Assumptions!$F$54/12,(SUM(OFFSET(X342,0,-((Assumptions!$F$54*12)+1)):X342)-$R342)/Assumptions!$F$54/12)</f>
        <v>22.222222222222225</v>
      </c>
      <c r="Y370" s="99">
        <f ca="1">IF(Assumptions!$F$54&gt;1,(SUM($F342:Y342)-$R342)/Assumptions!$F$54/12,(SUM(OFFSET(Y342,0,-((Assumptions!$F$54*12)+1)):Y342)-$R342)/Assumptions!$F$54/12)</f>
        <v>22.222222222222225</v>
      </c>
      <c r="Z370" s="99">
        <f ca="1">IF(Assumptions!$F$54&gt;1,(SUM($F342:Z342)-$R342)/Assumptions!$F$54/12,(SUM(OFFSET(Z342,0,-((Assumptions!$F$54*12)+1)):Z342)-$R342)/Assumptions!$F$54/12)</f>
        <v>22.222222222222225</v>
      </c>
      <c r="AA370" s="99">
        <f ca="1">IF(Assumptions!$F$54&gt;1,(SUM($F342:AA342)-$R342)/Assumptions!$F$54/12,(SUM(OFFSET(AA342,0,-((Assumptions!$F$54*12)+1)):AA342)-$R342)/Assumptions!$F$54/12)</f>
        <v>22.222222222222225</v>
      </c>
      <c r="AB370" s="99">
        <f ca="1">IF(Assumptions!$F$54&gt;1,(SUM($F342:AB342)-$R342)/Assumptions!$F$54/12,(SUM(OFFSET(AB342,0,-((Assumptions!$F$54*12)+1)):AB342)-$R342)/Assumptions!$F$54/12)</f>
        <v>22.222222222222225</v>
      </c>
      <c r="AC370" s="99">
        <f ca="1">IF(Assumptions!$F$54&gt;1,(SUM($F342:AC342)-$R342)/Assumptions!$F$54/12,(SUM(OFFSET(AC342,0,-((Assumptions!$F$54*12)+1)):AC342)-$R342)/Assumptions!$F$54/12)</f>
        <v>22.222222222222225</v>
      </c>
      <c r="AD370" s="99">
        <f ca="1">IF(Assumptions!$F$54&gt;1,(SUM($F342:AD342)-$R342)/Assumptions!$F$54/12,(SUM(OFFSET(AD342,0,-((Assumptions!$F$54*12)+1)):AD342)-$R342)/Assumptions!$F$54/12)</f>
        <v>22.222222222222225</v>
      </c>
      <c r="AE370" s="100">
        <f ca="1">SUM(S370:AD370)</f>
        <v>250.00000000000006</v>
      </c>
      <c r="AF370" s="100">
        <f>IF(Assumptions!$F$54&gt;2,($AF342+$AE342+$R342)/Assumptions!$F$54,IF(Assumptions!$F$54&gt;1,($AF342+$AE342)/Assumptions!$F$54,($AF342)/Assumptions!$F$54))</f>
        <v>400</v>
      </c>
      <c r="AG370" s="100">
        <f>IF(Assumptions!$F$54&gt;3,($AG342+$AF342+$AE342+$R342)/Assumptions!$F$54,IF(Assumptions!$F$54&gt;2,($AG342 +$AF342+$AE342)/Assumptions!$F$54,IF(Assumptions!$F$54&gt;1,($AG342+$AF342)/Assumptions!$F$54,($AG342)/Assumptions!$F$54)))</f>
        <v>533.33333333333337</v>
      </c>
      <c r="AH370" s="100">
        <f>IF(Assumptions!$F$54&gt;4,($AH342+$AG342+$AF342+$AE342+$R342)/Assumptions!$F$54,IF(Assumptions!$F$54&gt;3,($AH342+$AG342 +$AF342+$AE342)/Assumptions!$F$54,IF(Assumptions!$F$54&gt;2,($AH342+$AG342+$AF342)/Assumptions!$F$54,IF(Assumptions!$F$54&gt;1,($AH342+$AG342)/Assumptions!$F$54,$AH342/Assumptions!$F$54))))</f>
        <v>466.66666666666669</v>
      </c>
      <c r="AI370" s="304" t="s">
        <v>321</v>
      </c>
    </row>
    <row r="371" spans="1:35">
      <c r="A371" s="96"/>
      <c r="B371" s="94" t="str">
        <f>B343&amp;" ("&amp;Assumptions!$G$54&amp;" years)"</f>
        <v>Furniture &amp; Fixtures (5 years)</v>
      </c>
      <c r="C371" s="146">
        <f>Assumptions!G54</f>
        <v>5</v>
      </c>
      <c r="D371" s="70"/>
      <c r="E371" s="70"/>
      <c r="F371" s="99">
        <f>SUM($F343:F343)/Assumptions!$G$54/12</f>
        <v>2.0833333333333335</v>
      </c>
      <c r="G371" s="99">
        <f>SUM($F343:G343)/Assumptions!$G$54/12</f>
        <v>2.0833333333333335</v>
      </c>
      <c r="H371" s="99">
        <f>SUM($F343:H343)/Assumptions!$G$54/12</f>
        <v>2.0833333333333335</v>
      </c>
      <c r="I371" s="99">
        <f>SUM($F343:I343)/Assumptions!$G$54/12</f>
        <v>2.0833333333333335</v>
      </c>
      <c r="J371" s="99">
        <f>SUM($F343:J343)/Assumptions!$G$54/12</f>
        <v>2.0833333333333335</v>
      </c>
      <c r="K371" s="99">
        <f>SUM($F343:K343)/Assumptions!$G$54/12</f>
        <v>4.166666666666667</v>
      </c>
      <c r="L371" s="99">
        <f>SUM($F343:L343)/Assumptions!$G$54/12</f>
        <v>4.166666666666667</v>
      </c>
      <c r="M371" s="99">
        <f>SUM($F343:M343)/Assumptions!$G$54/12</f>
        <v>4.166666666666667</v>
      </c>
      <c r="N371" s="99">
        <f>SUM($F343:N343)/Assumptions!$G$54/12</f>
        <v>4.166666666666667</v>
      </c>
      <c r="O371" s="99">
        <f>SUM($F343:O343)/Assumptions!$G$54/12</f>
        <v>4.166666666666667</v>
      </c>
      <c r="P371" s="99">
        <f>SUM($F343:P343)/Assumptions!$G$54/12</f>
        <v>4.166666666666667</v>
      </c>
      <c r="Q371" s="99">
        <f>SUM($F343:Q343)/Assumptions!$G$54/12</f>
        <v>4.166666666666667</v>
      </c>
      <c r="R371" s="100">
        <f>SUM(F371:Q371)</f>
        <v>39.583333333333336</v>
      </c>
      <c r="S371" s="99">
        <f ca="1">IF(Assumptions!$G$54&gt;1,(SUM($F343:S343)-$R343)/Assumptions!$G$54/12,(SUM(OFFSET(S343,0,-((Assumptions!$G$54*12)+1)):S343)-$R343)/Assumptions!$G$54/12)</f>
        <v>8.3333333333333339</v>
      </c>
      <c r="T371" s="99">
        <f ca="1">IF(Assumptions!$G$54&gt;1,(SUM($F343:T343)-$R343)/Assumptions!$G$54/12,(SUM(OFFSET(T343,0,-((Assumptions!$G$54*12)+1)):T343)-$R343)/Assumptions!$G$54/12)</f>
        <v>12.5</v>
      </c>
      <c r="U371" s="99">
        <f ca="1">IF(Assumptions!$G$54&gt;1,(SUM($F343:U343)-$R343)/Assumptions!$G$54/12,(SUM(OFFSET(U343,0,-((Assumptions!$G$54*12)+1)):U343)-$R343)/Assumptions!$G$54/12)</f>
        <v>16.666666666666668</v>
      </c>
      <c r="V371" s="99">
        <f ca="1">IF(Assumptions!$G$54&gt;1,(SUM($F343:V343)-$R343)/Assumptions!$G$54/12,(SUM(OFFSET(V343,0,-((Assumptions!$G$54*12)+1)):V343)-$R343)/Assumptions!$G$54/12)</f>
        <v>16.666666666666668</v>
      </c>
      <c r="W371" s="99">
        <f ca="1">IF(Assumptions!$G$54&gt;1,(SUM($F343:W343)-$R343)/Assumptions!$G$54/12,(SUM(OFFSET(W343,0,-((Assumptions!$G$54*12)+1)):W343)-$R343)/Assumptions!$G$54/12)</f>
        <v>16.666666666666668</v>
      </c>
      <c r="X371" s="99">
        <f ca="1">IF(Assumptions!$G$54&gt;1,(SUM($F343:X343)-$R343)/Assumptions!$G$54/12,(SUM(OFFSET(X343,0,-((Assumptions!$G$54*12)+1)):X343)-$R343)/Assumptions!$G$54/12)</f>
        <v>16.666666666666668</v>
      </c>
      <c r="Y371" s="99">
        <f ca="1">IF(Assumptions!$G$54&gt;1,(SUM($F343:Y343)-$R343)/Assumptions!$G$54/12,(SUM(OFFSET(Y343,0,-((Assumptions!$G$54*12)+1)):Y343)-$R343)/Assumptions!$G$54/12)</f>
        <v>16.666666666666668</v>
      </c>
      <c r="Z371" s="99">
        <f ca="1">IF(Assumptions!$G$54&gt;1,(SUM($F343:Z343)-$R343)/Assumptions!$G$54/12,(SUM(OFFSET(Z343,0,-((Assumptions!$G$54*12)+1)):Z343)-$R343)/Assumptions!$G$54/12)</f>
        <v>16.666666666666668</v>
      </c>
      <c r="AA371" s="99">
        <f ca="1">IF(Assumptions!$G$54&gt;1,(SUM($F343:AA343)-$R343)/Assumptions!$G$54/12,(SUM(OFFSET(AA343,0,-((Assumptions!$G$54*12)+1)):AA343)-$R343)/Assumptions!$G$54/12)</f>
        <v>16.666666666666668</v>
      </c>
      <c r="AB371" s="99">
        <f ca="1">IF(Assumptions!$G$54&gt;1,(SUM($F343:AB343)-$R343)/Assumptions!$G$54/12,(SUM(OFFSET(AB343,0,-((Assumptions!$G$54*12)+1)):AB343)-$R343)/Assumptions!$G$54/12)</f>
        <v>16.666666666666668</v>
      </c>
      <c r="AC371" s="99">
        <f ca="1">IF(Assumptions!$G$54&gt;1,(SUM($F343:AC343)-$R343)/Assumptions!$G$54/12,(SUM(OFFSET(AC343,0,-((Assumptions!$G$54*12)+1)):AC343)-$R343)/Assumptions!$G$54/12)</f>
        <v>16.666666666666668</v>
      </c>
      <c r="AD371" s="99">
        <f ca="1">IF(Assumptions!$G$54&gt;1,(SUM($F343:AD343)-$R343)/Assumptions!$G$54/12,(SUM(OFFSET(AD343,0,-((Assumptions!$G$54*12)+1)):AD343)-$R343)/Assumptions!$G$54/12)</f>
        <v>16.666666666666668</v>
      </c>
      <c r="AE371" s="100">
        <f ca="1">SUM(S371:AD371)</f>
        <v>187.5</v>
      </c>
      <c r="AF371" s="100">
        <f>IF(Assumptions!$G$54&gt;2,($AF343+$AE343+$R343)/Assumptions!$G$54,IF(Assumptions!$G$54&gt;1,($AF343+$AE343)/Assumptions!$G$54,($AF343)/Assumptions!$G$54))</f>
        <v>300</v>
      </c>
      <c r="AG371" s="100">
        <f>IF(Assumptions!$G$54&gt;3,($AG343+$AF343+$AE343+$R343)/Assumptions!$G$54,IF(Assumptions!$G$54&gt;2,($AG343 +$AF343+$AE343)/Assumptions!$G$54,IF(Assumptions!$G$54&gt;1,($AG343+$AF343)/Assumptions!$G$54,($AG343)/Assumptions!$G$54)))</f>
        <v>450</v>
      </c>
      <c r="AH371" s="100">
        <f>IF(Assumptions!$G$54&gt;4,($AH343+$AG343+$AF343+$AE343+$R343)/Assumptions!$G$54,IF(Assumptions!$G$54&gt;3,($AH343+$AG343 +$AF343+$AE343)/Assumptions!$G$54,IF(Assumptions!$G$54&gt;2,($AH343+$AG343+$AF343)/Assumptions!$G$54,IF(Assumptions!$G$54&gt;1,($AH343+$AG343)/Assumptions!$G$54,$AH343/Assumptions!$G$54))))</f>
        <v>550</v>
      </c>
      <c r="AI371" s="304" t="s">
        <v>321</v>
      </c>
    </row>
    <row r="372" spans="1:35">
      <c r="A372" s="189" t="s">
        <v>258</v>
      </c>
      <c r="B372" s="102"/>
      <c r="C372" s="85"/>
      <c r="D372" s="85"/>
      <c r="E372" s="85"/>
      <c r="F372" s="103">
        <f t="shared" ref="F372:Q372" si="480">SUM(F369:F371)</f>
        <v>39.583333333333336</v>
      </c>
      <c r="G372" s="103">
        <f t="shared" si="480"/>
        <v>39.583333333333336</v>
      </c>
      <c r="H372" s="103">
        <f t="shared" si="480"/>
        <v>39.583333333333336</v>
      </c>
      <c r="I372" s="103">
        <f t="shared" si="480"/>
        <v>39.583333333333336</v>
      </c>
      <c r="J372" s="103">
        <f t="shared" si="480"/>
        <v>39.583333333333336</v>
      </c>
      <c r="K372" s="103">
        <f t="shared" si="480"/>
        <v>79.166666666666671</v>
      </c>
      <c r="L372" s="103">
        <f t="shared" si="480"/>
        <v>79.166666666666671</v>
      </c>
      <c r="M372" s="103">
        <f t="shared" si="480"/>
        <v>79.166666666666671</v>
      </c>
      <c r="N372" s="103">
        <f t="shared" si="480"/>
        <v>79.166666666666671</v>
      </c>
      <c r="O372" s="103">
        <f t="shared" si="480"/>
        <v>79.166666666666671</v>
      </c>
      <c r="P372" s="103">
        <f t="shared" si="480"/>
        <v>79.166666666666671</v>
      </c>
      <c r="Q372" s="103">
        <f t="shared" si="480"/>
        <v>79.166666666666671</v>
      </c>
      <c r="R372" s="104">
        <f>SUM(F372:Q372)</f>
        <v>752.08333333333326</v>
      </c>
      <c r="S372" s="103">
        <f t="shared" ref="S372:AD372" ca="1" si="481">SUM(S369:S371)</f>
        <v>158.33333333333334</v>
      </c>
      <c r="T372" s="103">
        <f t="shared" ca="1" si="481"/>
        <v>237.5</v>
      </c>
      <c r="U372" s="103">
        <f t="shared" ca="1" si="481"/>
        <v>316.66666666666669</v>
      </c>
      <c r="V372" s="103">
        <f t="shared" ca="1" si="481"/>
        <v>316.66666666666669</v>
      </c>
      <c r="W372" s="103">
        <f t="shared" ca="1" si="481"/>
        <v>316.66666666666669</v>
      </c>
      <c r="X372" s="103">
        <f t="shared" ca="1" si="481"/>
        <v>316.66666666666669</v>
      </c>
      <c r="Y372" s="103">
        <f t="shared" ca="1" si="481"/>
        <v>316.66666666666669</v>
      </c>
      <c r="Z372" s="103">
        <f t="shared" ca="1" si="481"/>
        <v>316.66666666666669</v>
      </c>
      <c r="AA372" s="103">
        <f t="shared" ca="1" si="481"/>
        <v>316.66666666666669</v>
      </c>
      <c r="AB372" s="103">
        <f t="shared" ca="1" si="481"/>
        <v>316.66666666666669</v>
      </c>
      <c r="AC372" s="103">
        <f t="shared" ca="1" si="481"/>
        <v>316.66666666666669</v>
      </c>
      <c r="AD372" s="103">
        <f t="shared" ca="1" si="481"/>
        <v>316.66666666666669</v>
      </c>
      <c r="AE372" s="104">
        <f ca="1">SUM(S372:AD372)</f>
        <v>3562.4999999999995</v>
      </c>
      <c r="AF372" s="104">
        <f>SUM(AF369:AF371)</f>
        <v>5700</v>
      </c>
      <c r="AG372" s="104">
        <f>SUM(AG369:AG371)</f>
        <v>7650</v>
      </c>
      <c r="AH372" s="104">
        <f>SUM(AH369:AH371)</f>
        <v>6850</v>
      </c>
      <c r="AI372" s="304" t="s">
        <v>321</v>
      </c>
    </row>
    <row r="373" spans="1:35">
      <c r="A373" s="96"/>
      <c r="B373" s="97"/>
      <c r="C373" s="98"/>
      <c r="D373" s="98"/>
      <c r="E373" s="98"/>
      <c r="F373" s="99"/>
      <c r="G373" s="99"/>
      <c r="H373" s="99"/>
      <c r="I373" s="99"/>
      <c r="J373" s="99"/>
      <c r="K373" s="99"/>
      <c r="L373" s="99"/>
      <c r="M373" s="99"/>
      <c r="N373" s="99"/>
      <c r="O373" s="99"/>
      <c r="P373" s="99"/>
      <c r="Q373" s="99"/>
      <c r="R373" s="100"/>
      <c r="S373" s="99"/>
      <c r="T373" s="99"/>
      <c r="U373" s="99"/>
      <c r="V373" s="99"/>
      <c r="W373" s="99"/>
      <c r="X373" s="99"/>
      <c r="Y373" s="99"/>
      <c r="Z373" s="99"/>
      <c r="AA373" s="99"/>
      <c r="AB373" s="99"/>
      <c r="AC373" s="99"/>
      <c r="AD373" s="99"/>
      <c r="AE373" s="100"/>
      <c r="AF373" s="100"/>
      <c r="AG373" s="100"/>
      <c r="AH373" s="100"/>
      <c r="AI373" s="304" t="s">
        <v>321</v>
      </c>
    </row>
    <row r="374" spans="1:35">
      <c r="A374" s="89" t="str">
        <f>UPPER($A$278)</f>
        <v>ADMINISTRATION</v>
      </c>
      <c r="B374" s="97"/>
      <c r="C374" s="98"/>
      <c r="D374" s="98"/>
      <c r="E374" s="98"/>
      <c r="F374" s="99"/>
      <c r="G374" s="99"/>
      <c r="H374" s="99"/>
      <c r="I374" s="99"/>
      <c r="J374" s="99"/>
      <c r="K374" s="99"/>
      <c r="L374" s="99"/>
      <c r="M374" s="99"/>
      <c r="N374" s="99"/>
      <c r="O374" s="99"/>
      <c r="P374" s="99"/>
      <c r="Q374" s="99"/>
      <c r="R374" s="100"/>
      <c r="S374" s="99"/>
      <c r="T374" s="99"/>
      <c r="U374" s="99"/>
      <c r="V374" s="99"/>
      <c r="W374" s="99"/>
      <c r="X374" s="99"/>
      <c r="Y374" s="99"/>
      <c r="Z374" s="99"/>
      <c r="AA374" s="99"/>
      <c r="AB374" s="99"/>
      <c r="AC374" s="99"/>
      <c r="AD374" s="99"/>
      <c r="AE374" s="100"/>
      <c r="AF374" s="100"/>
      <c r="AG374" s="100"/>
      <c r="AH374" s="100"/>
      <c r="AI374" s="304" t="s">
        <v>321</v>
      </c>
    </row>
    <row r="375" spans="1:35">
      <c r="A375" s="96"/>
      <c r="B375" s="94" t="str">
        <f>B348&amp;" ("&amp;Assumptions!$E$55&amp;" years)"</f>
        <v>Computer Hardware (3 years)</v>
      </c>
      <c r="C375" s="146">
        <f>Assumptions!E55</f>
        <v>3</v>
      </c>
      <c r="D375" s="70"/>
      <c r="E375" s="70"/>
      <c r="F375" s="99">
        <f>SUM($F348:F348)/Assumptions!$E$55/12</f>
        <v>20.833333333333332</v>
      </c>
      <c r="G375" s="99">
        <f>SUM($F348:G348)/Assumptions!$E$55/12</f>
        <v>20.833333333333332</v>
      </c>
      <c r="H375" s="99">
        <f>SUM($F348:H348)/Assumptions!$E$55/12</f>
        <v>20.833333333333332</v>
      </c>
      <c r="I375" s="99">
        <f>SUM($F348:I348)/Assumptions!$E$55/12</f>
        <v>20.833333333333332</v>
      </c>
      <c r="J375" s="99">
        <f>SUM($F348:J348)/Assumptions!$E$55/12</f>
        <v>20.833333333333332</v>
      </c>
      <c r="K375" s="99">
        <f>SUM($F348:K348)/Assumptions!$E$55/12</f>
        <v>27.777777777777775</v>
      </c>
      <c r="L375" s="99">
        <f>SUM($F348:L348)/Assumptions!$E$55/12</f>
        <v>27.777777777777775</v>
      </c>
      <c r="M375" s="99">
        <f>SUM($F348:M348)/Assumptions!$E$55/12</f>
        <v>27.777777777777775</v>
      </c>
      <c r="N375" s="99">
        <f>SUM($F348:N348)/Assumptions!$E$55/12</f>
        <v>27.777777777777775</v>
      </c>
      <c r="O375" s="99">
        <f>SUM($F348:O348)/Assumptions!$E$55/12</f>
        <v>27.777777777777775</v>
      </c>
      <c r="P375" s="99">
        <f>SUM($F348:P348)/Assumptions!$E$55/12</f>
        <v>27.777777777777775</v>
      </c>
      <c r="Q375" s="99">
        <f>SUM($F348:Q348)/Assumptions!$E$55/12</f>
        <v>27.777777777777775</v>
      </c>
      <c r="R375" s="100">
        <f>SUM(F375:Q375)</f>
        <v>298.61111111111109</v>
      </c>
      <c r="S375" s="99">
        <f ca="1">IF(Assumptions!$E$55&gt;1,(SUM($F348:S348)-$R348)/Assumptions!$E$55/12,(SUM(OFFSET(S348,0,-((Assumptions!$E$55*12)+1)):S348)-$R348)/Assumptions!$E$55/12)</f>
        <v>55.55555555555555</v>
      </c>
      <c r="T375" s="99">
        <f ca="1">IF(Assumptions!$E$55&gt;1,(SUM($F348:T348)-$R348)/Assumptions!$E$55/12,(SUM(OFFSET(T348,0,-((Assumptions!$E$55*12)+1)):T348)-$R348)/Assumptions!$E$55/12)</f>
        <v>55.55555555555555</v>
      </c>
      <c r="U375" s="99">
        <f ca="1">IF(Assumptions!$E$55&gt;1,(SUM($F348:U348)-$R348)/Assumptions!$E$55/12,(SUM(OFFSET(U348,0,-((Assumptions!$E$55*12)+1)):U348)-$R348)/Assumptions!$E$55/12)</f>
        <v>55.55555555555555</v>
      </c>
      <c r="V375" s="99">
        <f ca="1">IF(Assumptions!$E$55&gt;1,(SUM($F348:V348)-$R348)/Assumptions!$E$55/12,(SUM(OFFSET(V348,0,-((Assumptions!$E$55*12)+1)):V348)-$R348)/Assumptions!$E$55/12)</f>
        <v>55.55555555555555</v>
      </c>
      <c r="W375" s="99">
        <f ca="1">IF(Assumptions!$E$55&gt;1,(SUM($F348:W348)-$R348)/Assumptions!$E$55/12,(SUM(OFFSET(W348,0,-((Assumptions!$E$55*12)+1)):W348)-$R348)/Assumptions!$E$55/12)</f>
        <v>55.55555555555555</v>
      </c>
      <c r="X375" s="99">
        <f ca="1">IF(Assumptions!$E$55&gt;1,(SUM($F348:X348)-$R348)/Assumptions!$E$55/12,(SUM(OFFSET(X348,0,-((Assumptions!$E$55*12)+1)):X348)-$R348)/Assumptions!$E$55/12)</f>
        <v>55.55555555555555</v>
      </c>
      <c r="Y375" s="99">
        <f ca="1">IF(Assumptions!$E$55&gt;1,(SUM($F348:Y348)-$R348)/Assumptions!$E$55/12,(SUM(OFFSET(Y348,0,-((Assumptions!$E$55*12)+1)):Y348)-$R348)/Assumptions!$E$55/12)</f>
        <v>55.55555555555555</v>
      </c>
      <c r="Z375" s="99">
        <f ca="1">IF(Assumptions!$E$55&gt;1,(SUM($F348:Z348)-$R348)/Assumptions!$E$55/12,(SUM(OFFSET(Z348,0,-((Assumptions!$E$55*12)+1)):Z348)-$R348)/Assumptions!$E$55/12)</f>
        <v>55.55555555555555</v>
      </c>
      <c r="AA375" s="99">
        <f ca="1">IF(Assumptions!$E$55&gt;1,(SUM($F348:AA348)-$R348)/Assumptions!$E$55/12,(SUM(OFFSET(AA348,0,-((Assumptions!$E$55*12)+1)):AA348)-$R348)/Assumptions!$E$55/12)</f>
        <v>55.55555555555555</v>
      </c>
      <c r="AB375" s="99">
        <f ca="1">IF(Assumptions!$E$55&gt;1,(SUM($F348:AB348)-$R348)/Assumptions!$E$55/12,(SUM(OFFSET(AB348,0,-((Assumptions!$E$55*12)+1)):AB348)-$R348)/Assumptions!$E$55/12)</f>
        <v>55.55555555555555</v>
      </c>
      <c r="AC375" s="99">
        <f ca="1">IF(Assumptions!$E$55&gt;1,(SUM($F348:AC348)-$R348)/Assumptions!$E$55/12,(SUM(OFFSET(AC348,0,-((Assumptions!$E$55*12)+1)):AC348)-$R348)/Assumptions!$E$55/12)</f>
        <v>55.55555555555555</v>
      </c>
      <c r="AD375" s="99">
        <f ca="1">IF(Assumptions!$E$55&gt;1,(SUM($F348:AD348)-$R348)/Assumptions!$E$55/12,(SUM(OFFSET(AD348,0,-((Assumptions!$E$55*12)+1)):AD348)-$R348)/Assumptions!$E$55/12)</f>
        <v>55.55555555555555</v>
      </c>
      <c r="AE375" s="100">
        <f ca="1">SUM(S375:AD375)</f>
        <v>666.66666666666663</v>
      </c>
      <c r="AF375" s="100">
        <f>IF(Assumptions!$E$55&gt;2,($AF348+$AE348+$R348)/Assumptions!$E$55,IF(Assumptions!$E$55&gt;1,($AF348+$AE348)/Assumptions!$E$55,($AF348)/Assumptions!$E$55))</f>
        <v>666.66666666666663</v>
      </c>
      <c r="AG375" s="100">
        <f>IF(Assumptions!$E$55&gt;3,($AG348+$AF348+$AE348+$R348)/Assumptions!$E$55,IF(Assumptions!$E$55&gt;2,($AG348 +$AF348+$AE348)/Assumptions!$E$55,IF(Assumptions!$E$55&gt;1,($AG348+$AF348)/Assumptions!$E$55,($AG348)/Assumptions!$E$55)))</f>
        <v>500</v>
      </c>
      <c r="AH375" s="100">
        <f>IF(Assumptions!$E$55&gt;4,($AH348+$AG348+$AF348+$AE348+$R348)/Assumptions!$E$55,IF(Assumptions!$E$55&gt;3,($AH348+$AG348 +$AF348+$AE348)/Assumptions!$E$55,IF(Assumptions!$E$55&gt;2,($AH348+$AG348+$AF348)/Assumptions!$E$55,IF(Assumptions!$E$55&gt;1,($AH348+$AG348)/Assumptions!$E$55,$AH348/Assumptions!$E$55))))</f>
        <v>166.66666666666666</v>
      </c>
      <c r="AI375" s="304" t="s">
        <v>321</v>
      </c>
    </row>
    <row r="376" spans="1:35">
      <c r="A376" s="96"/>
      <c r="B376" s="94" t="str">
        <f>B349&amp;" ("&amp;Assumptions!$F$55&amp;" years)"</f>
        <v>Computer Software (3 years)</v>
      </c>
      <c r="C376" s="146">
        <f>Assumptions!F55</f>
        <v>3</v>
      </c>
      <c r="D376" s="70"/>
      <c r="E376" s="70"/>
      <c r="F376" s="99">
        <f>SUM($F349:F349)/Assumptions!$F$55/12</f>
        <v>8.3333333333333339</v>
      </c>
      <c r="G376" s="99">
        <f>SUM($F349:G349)/Assumptions!$F$55/12</f>
        <v>8.3333333333333339</v>
      </c>
      <c r="H376" s="99">
        <f>SUM($F349:H349)/Assumptions!$F$55/12</f>
        <v>8.3333333333333339</v>
      </c>
      <c r="I376" s="99">
        <f>SUM($F349:I349)/Assumptions!$F$55/12</f>
        <v>8.3333333333333339</v>
      </c>
      <c r="J376" s="99">
        <f>SUM($F349:J349)/Assumptions!$F$55/12</f>
        <v>8.3333333333333339</v>
      </c>
      <c r="K376" s="99">
        <f>SUM($F349:K349)/Assumptions!$F$55/12</f>
        <v>11.111111111111112</v>
      </c>
      <c r="L376" s="99">
        <f>SUM($F349:L349)/Assumptions!$F$55/12</f>
        <v>11.111111111111112</v>
      </c>
      <c r="M376" s="99">
        <f>SUM($F349:M349)/Assumptions!$F$55/12</f>
        <v>11.111111111111112</v>
      </c>
      <c r="N376" s="99">
        <f>SUM($F349:N349)/Assumptions!$F$55/12</f>
        <v>11.111111111111112</v>
      </c>
      <c r="O376" s="99">
        <f>SUM($F349:O349)/Assumptions!$F$55/12</f>
        <v>11.111111111111112</v>
      </c>
      <c r="P376" s="99">
        <f>SUM($F349:P349)/Assumptions!$F$55/12</f>
        <v>11.111111111111112</v>
      </c>
      <c r="Q376" s="99">
        <f>SUM($F349:Q349)/Assumptions!$F$55/12</f>
        <v>11.111111111111112</v>
      </c>
      <c r="R376" s="100">
        <f>SUM(F376:Q376)</f>
        <v>119.44444444444447</v>
      </c>
      <c r="S376" s="99">
        <f ca="1">IF(Assumptions!$F$55&gt;1,(SUM($F349:S349)-$R349)/Assumptions!$F$55/12,(SUM(OFFSET(S349,0,-((Assumptions!$F$55*12)+1)):S349)-$R349)/Assumptions!$F$55/12)</f>
        <v>22.222222222222225</v>
      </c>
      <c r="T376" s="99">
        <f ca="1">IF(Assumptions!$F$55&gt;1,(SUM($F349:T349)-$R349)/Assumptions!$F$55/12,(SUM(OFFSET(T349,0,-((Assumptions!$F$55*12)+1)):T349)-$R349)/Assumptions!$F$55/12)</f>
        <v>22.222222222222225</v>
      </c>
      <c r="U376" s="99">
        <f ca="1">IF(Assumptions!$F$55&gt;1,(SUM($F349:U349)-$R349)/Assumptions!$F$55/12,(SUM(OFFSET(U349,0,-((Assumptions!$F$55*12)+1)):U349)-$R349)/Assumptions!$F$55/12)</f>
        <v>22.222222222222225</v>
      </c>
      <c r="V376" s="99">
        <f ca="1">IF(Assumptions!$F$55&gt;1,(SUM($F349:V349)-$R349)/Assumptions!$F$55/12,(SUM(OFFSET(V349,0,-((Assumptions!$F$55*12)+1)):V349)-$R349)/Assumptions!$F$55/12)</f>
        <v>22.222222222222225</v>
      </c>
      <c r="W376" s="99">
        <f ca="1">IF(Assumptions!$F$55&gt;1,(SUM($F349:W349)-$R349)/Assumptions!$F$55/12,(SUM(OFFSET(W349,0,-((Assumptions!$F$55*12)+1)):W349)-$R349)/Assumptions!$F$55/12)</f>
        <v>22.222222222222225</v>
      </c>
      <c r="X376" s="99">
        <f ca="1">IF(Assumptions!$F$55&gt;1,(SUM($F349:X349)-$R349)/Assumptions!$F$55/12,(SUM(OFFSET(X349,0,-((Assumptions!$F$55*12)+1)):X349)-$R349)/Assumptions!$F$55/12)</f>
        <v>22.222222222222225</v>
      </c>
      <c r="Y376" s="99">
        <f ca="1">IF(Assumptions!$F$55&gt;1,(SUM($F349:Y349)-$R349)/Assumptions!$F$55/12,(SUM(OFFSET(Y349,0,-((Assumptions!$F$55*12)+1)):Y349)-$R349)/Assumptions!$F$55/12)</f>
        <v>22.222222222222225</v>
      </c>
      <c r="Z376" s="99">
        <f ca="1">IF(Assumptions!$F$55&gt;1,(SUM($F349:Z349)-$R349)/Assumptions!$F$55/12,(SUM(OFFSET(Z349,0,-((Assumptions!$F$55*12)+1)):Z349)-$R349)/Assumptions!$F$55/12)</f>
        <v>22.222222222222225</v>
      </c>
      <c r="AA376" s="99">
        <f ca="1">IF(Assumptions!$F$55&gt;1,(SUM($F349:AA349)-$R349)/Assumptions!$F$55/12,(SUM(OFFSET(AA349,0,-((Assumptions!$F$55*12)+1)):AA349)-$R349)/Assumptions!$F$55/12)</f>
        <v>22.222222222222225</v>
      </c>
      <c r="AB376" s="99">
        <f ca="1">IF(Assumptions!$F$55&gt;1,(SUM($F349:AB349)-$R349)/Assumptions!$F$55/12,(SUM(OFFSET(AB349,0,-((Assumptions!$F$55*12)+1)):AB349)-$R349)/Assumptions!$F$55/12)</f>
        <v>22.222222222222225</v>
      </c>
      <c r="AC376" s="99">
        <f ca="1">IF(Assumptions!$F$55&gt;1,(SUM($F349:AC349)-$R349)/Assumptions!$F$55/12,(SUM(OFFSET(AC349,0,-((Assumptions!$F$55*12)+1)):AC349)-$R349)/Assumptions!$F$55/12)</f>
        <v>22.222222222222225</v>
      </c>
      <c r="AD376" s="99">
        <f ca="1">IF(Assumptions!$F$55&gt;1,(SUM($F349:AD349)-$R349)/Assumptions!$F$55/12,(SUM(OFFSET(AD349,0,-((Assumptions!$F$55*12)+1)):AD349)-$R349)/Assumptions!$F$55/12)</f>
        <v>22.222222222222225</v>
      </c>
      <c r="AE376" s="100">
        <f ca="1">SUM(S376:AD376)</f>
        <v>266.66666666666669</v>
      </c>
      <c r="AF376" s="100">
        <f>IF(Assumptions!$F$55&gt;2,($AF349+$AE349+$R349)/Assumptions!$F$55,IF(Assumptions!$F$55&gt;1,($AF349+$AE349)/Assumptions!$F$55,($AF349)/Assumptions!$F$55))</f>
        <v>266.66666666666669</v>
      </c>
      <c r="AG376" s="100">
        <f>IF(Assumptions!$F$55&gt;3,($AG349+$AF349+$AE349+$R349)/Assumptions!$F$55,IF(Assumptions!$F$55&gt;2,($AG349 +$AF349+$AE349)/Assumptions!$F$55,IF(Assumptions!$F$55&gt;1,($AG349+$AF349)/Assumptions!$F$55,($AG349)/Assumptions!$F$55)))</f>
        <v>200</v>
      </c>
      <c r="AH376" s="100">
        <f>IF(Assumptions!$F$55&gt;4,($AH349+$AG349+$AF349+$AE349+$R349)/Assumptions!$F$55,IF(Assumptions!$F$55&gt;3,($AH349+$AG349 +$AF349+$AE349)/Assumptions!$F$55,IF(Assumptions!$F$55&gt;2,($AH349+$AG349+$AF349)/Assumptions!$F$55,IF(Assumptions!$F$55&gt;1,($AH349+$AG349)/Assumptions!$F$55,$AH349/Assumptions!$F$55))))</f>
        <v>66.666666666666671</v>
      </c>
      <c r="AI376" s="304" t="s">
        <v>321</v>
      </c>
    </row>
    <row r="377" spans="1:35">
      <c r="A377" s="96"/>
      <c r="B377" s="94" t="str">
        <f>B350&amp;" ("&amp;Assumptions!$G$55&amp;" years)"</f>
        <v>Furniture &amp; Fixtures (5 years)</v>
      </c>
      <c r="C377" s="146">
        <f>Assumptions!G55</f>
        <v>5</v>
      </c>
      <c r="D377" s="70"/>
      <c r="E377" s="70"/>
      <c r="F377" s="99">
        <f>SUM($F350:F350)/Assumptions!$G$55/12</f>
        <v>6.25</v>
      </c>
      <c r="G377" s="99">
        <f>SUM($F350:G350)/Assumptions!$G$55/12</f>
        <v>6.25</v>
      </c>
      <c r="H377" s="99">
        <f>SUM($F350:H350)/Assumptions!$G$55/12</f>
        <v>6.25</v>
      </c>
      <c r="I377" s="99">
        <f>SUM($F350:I350)/Assumptions!$G$55/12</f>
        <v>6.25</v>
      </c>
      <c r="J377" s="99">
        <f>SUM($F350:J350)/Assumptions!$G$55/12</f>
        <v>6.25</v>
      </c>
      <c r="K377" s="99">
        <f>SUM($F350:K350)/Assumptions!$G$55/12</f>
        <v>8.3333333333333339</v>
      </c>
      <c r="L377" s="99">
        <f>SUM($F350:L350)/Assumptions!$G$55/12</f>
        <v>8.3333333333333339</v>
      </c>
      <c r="M377" s="99">
        <f>SUM($F350:M350)/Assumptions!$G$55/12</f>
        <v>8.3333333333333339</v>
      </c>
      <c r="N377" s="99">
        <f>SUM($F350:N350)/Assumptions!$G$55/12</f>
        <v>8.3333333333333339</v>
      </c>
      <c r="O377" s="99">
        <f>SUM($F350:O350)/Assumptions!$G$55/12</f>
        <v>8.3333333333333339</v>
      </c>
      <c r="P377" s="99">
        <f>SUM($F350:P350)/Assumptions!$G$55/12</f>
        <v>8.3333333333333339</v>
      </c>
      <c r="Q377" s="99">
        <f>SUM($F350:Q350)/Assumptions!$G$55/12</f>
        <v>8.3333333333333339</v>
      </c>
      <c r="R377" s="100">
        <f>SUM(F377:Q377)</f>
        <v>89.583333333333329</v>
      </c>
      <c r="S377" s="99">
        <f ca="1">IF(Assumptions!$G$55&gt;1,(SUM($F350:S350)-$R350)/Assumptions!$G$55/12,(SUM(OFFSET(S350,0,-((Assumptions!$G$55*12)+1)):S350)-$R350)/Assumptions!$G$55/12)</f>
        <v>16.666666666666668</v>
      </c>
      <c r="T377" s="99">
        <f ca="1">IF(Assumptions!$G$55&gt;1,(SUM($F350:T350)-$R350)/Assumptions!$G$55/12,(SUM(OFFSET(T350,0,-((Assumptions!$G$55*12)+1)):T350)-$R350)/Assumptions!$G$55/12)</f>
        <v>16.666666666666668</v>
      </c>
      <c r="U377" s="99">
        <f ca="1">IF(Assumptions!$G$55&gt;1,(SUM($F350:U350)-$R350)/Assumptions!$G$55/12,(SUM(OFFSET(U350,0,-((Assumptions!$G$55*12)+1)):U350)-$R350)/Assumptions!$G$55/12)</f>
        <v>16.666666666666668</v>
      </c>
      <c r="V377" s="99">
        <f ca="1">IF(Assumptions!$G$55&gt;1,(SUM($F350:V350)-$R350)/Assumptions!$G$55/12,(SUM(OFFSET(V350,0,-((Assumptions!$G$55*12)+1)):V350)-$R350)/Assumptions!$G$55/12)</f>
        <v>16.666666666666668</v>
      </c>
      <c r="W377" s="99">
        <f ca="1">IF(Assumptions!$G$55&gt;1,(SUM($F350:W350)-$R350)/Assumptions!$G$55/12,(SUM(OFFSET(W350,0,-((Assumptions!$G$55*12)+1)):W350)-$R350)/Assumptions!$G$55/12)</f>
        <v>16.666666666666668</v>
      </c>
      <c r="X377" s="99">
        <f ca="1">IF(Assumptions!$G$55&gt;1,(SUM($F350:X350)-$R350)/Assumptions!$G$55/12,(SUM(OFFSET(X350,0,-((Assumptions!$G$55*12)+1)):X350)-$R350)/Assumptions!$G$55/12)</f>
        <v>16.666666666666668</v>
      </c>
      <c r="Y377" s="99">
        <f ca="1">IF(Assumptions!$G$55&gt;1,(SUM($F350:Y350)-$R350)/Assumptions!$G$55/12,(SUM(OFFSET(Y350,0,-((Assumptions!$G$55*12)+1)):Y350)-$R350)/Assumptions!$G$55/12)</f>
        <v>16.666666666666668</v>
      </c>
      <c r="Z377" s="99">
        <f ca="1">IF(Assumptions!$G$55&gt;1,(SUM($F350:Z350)-$R350)/Assumptions!$G$55/12,(SUM(OFFSET(Z350,0,-((Assumptions!$G$55*12)+1)):Z350)-$R350)/Assumptions!$G$55/12)</f>
        <v>16.666666666666668</v>
      </c>
      <c r="AA377" s="99">
        <f ca="1">IF(Assumptions!$G$55&gt;1,(SUM($F350:AA350)-$R350)/Assumptions!$G$55/12,(SUM(OFFSET(AA350,0,-((Assumptions!$G$55*12)+1)):AA350)-$R350)/Assumptions!$G$55/12)</f>
        <v>16.666666666666668</v>
      </c>
      <c r="AB377" s="99">
        <f ca="1">IF(Assumptions!$G$55&gt;1,(SUM($F350:AB350)-$R350)/Assumptions!$G$55/12,(SUM(OFFSET(AB350,0,-((Assumptions!$G$55*12)+1)):AB350)-$R350)/Assumptions!$G$55/12)</f>
        <v>16.666666666666668</v>
      </c>
      <c r="AC377" s="99">
        <f ca="1">IF(Assumptions!$G$55&gt;1,(SUM($F350:AC350)-$R350)/Assumptions!$G$55/12,(SUM(OFFSET(AC350,0,-((Assumptions!$G$55*12)+1)):AC350)-$R350)/Assumptions!$G$55/12)</f>
        <v>16.666666666666668</v>
      </c>
      <c r="AD377" s="99">
        <f ca="1">IF(Assumptions!$G$55&gt;1,(SUM($F350:AD350)-$R350)/Assumptions!$G$55/12,(SUM(OFFSET(AD350,0,-((Assumptions!$G$55*12)+1)):AD350)-$R350)/Assumptions!$G$55/12)</f>
        <v>16.666666666666668</v>
      </c>
      <c r="AE377" s="100">
        <f ca="1">SUM(S377:AD377)</f>
        <v>199.99999999999997</v>
      </c>
      <c r="AF377" s="100">
        <f>IF(Assumptions!$G$55&gt;2,($AF350+$AE350+$R350)/Assumptions!$G$55,IF(Assumptions!$G$55&gt;1,($AF350+$AE350)/Assumptions!$G$55,($AF350)/Assumptions!$G$55))</f>
        <v>200</v>
      </c>
      <c r="AG377" s="100">
        <f>IF(Assumptions!$G$55&gt;3,($AG350+$AF350+$AE350+$R350)/Assumptions!$G$55,IF(Assumptions!$G$55&gt;2,($AG350 +$AF350+$AE350)/Assumptions!$G$55,IF(Assumptions!$G$55&gt;1,($AG350+$AF350)/Assumptions!$G$55,($AG350)/Assumptions!$G$55)))</f>
        <v>250</v>
      </c>
      <c r="AH377" s="100">
        <f>IF(Assumptions!$G$55&gt;4,($AH350+$AG350+$AF350+$AE350+$R350)/Assumptions!$G$55,IF(Assumptions!$G$55&gt;3,($AH350+$AG350 +$AF350+$AE350)/Assumptions!$G$55,IF(Assumptions!$G$55&gt;2,($AH350+$AG350+$AF350)/Assumptions!$G$55,IF(Assumptions!$G$55&gt;1,($AH350+$AG350)/Assumptions!$G$55,$AH350/Assumptions!$G$55))))</f>
        <v>250</v>
      </c>
      <c r="AI377" s="304" t="s">
        <v>321</v>
      </c>
    </row>
    <row r="378" spans="1:35">
      <c r="A378" s="189" t="s">
        <v>258</v>
      </c>
      <c r="B378" s="102"/>
      <c r="C378" s="85"/>
      <c r="D378" s="85"/>
      <c r="E378" s="85"/>
      <c r="F378" s="103">
        <f t="shared" ref="F378:Q378" si="482">SUM(F375:F377)</f>
        <v>35.416666666666664</v>
      </c>
      <c r="G378" s="103">
        <f t="shared" si="482"/>
        <v>35.416666666666664</v>
      </c>
      <c r="H378" s="103">
        <f t="shared" si="482"/>
        <v>35.416666666666664</v>
      </c>
      <c r="I378" s="103">
        <f t="shared" si="482"/>
        <v>35.416666666666664</v>
      </c>
      <c r="J378" s="103">
        <f t="shared" si="482"/>
        <v>35.416666666666664</v>
      </c>
      <c r="K378" s="103">
        <f t="shared" si="482"/>
        <v>47.222222222222221</v>
      </c>
      <c r="L378" s="103">
        <f t="shared" si="482"/>
        <v>47.222222222222221</v>
      </c>
      <c r="M378" s="103">
        <f t="shared" si="482"/>
        <v>47.222222222222221</v>
      </c>
      <c r="N378" s="103">
        <f t="shared" si="482"/>
        <v>47.222222222222221</v>
      </c>
      <c r="O378" s="103">
        <f t="shared" si="482"/>
        <v>47.222222222222221</v>
      </c>
      <c r="P378" s="103">
        <f t="shared" si="482"/>
        <v>47.222222222222221</v>
      </c>
      <c r="Q378" s="103">
        <f t="shared" si="482"/>
        <v>47.222222222222221</v>
      </c>
      <c r="R378" s="104">
        <f>SUM(F378:Q378)</f>
        <v>507.63888888888891</v>
      </c>
      <c r="S378" s="103">
        <f t="shared" ref="S378:AD378" ca="1" si="483">SUM(S375:S377)</f>
        <v>94.444444444444443</v>
      </c>
      <c r="T378" s="103">
        <f t="shared" ca="1" si="483"/>
        <v>94.444444444444443</v>
      </c>
      <c r="U378" s="103">
        <f t="shared" ca="1" si="483"/>
        <v>94.444444444444443</v>
      </c>
      <c r="V378" s="103">
        <f t="shared" ca="1" si="483"/>
        <v>94.444444444444443</v>
      </c>
      <c r="W378" s="103">
        <f t="shared" ca="1" si="483"/>
        <v>94.444444444444443</v>
      </c>
      <c r="X378" s="103">
        <f t="shared" ca="1" si="483"/>
        <v>94.444444444444443</v>
      </c>
      <c r="Y378" s="103">
        <f t="shared" ca="1" si="483"/>
        <v>94.444444444444443</v>
      </c>
      <c r="Z378" s="103">
        <f t="shared" ca="1" si="483"/>
        <v>94.444444444444443</v>
      </c>
      <c r="AA378" s="103">
        <f t="shared" ca="1" si="483"/>
        <v>94.444444444444443</v>
      </c>
      <c r="AB378" s="103">
        <f t="shared" ca="1" si="483"/>
        <v>94.444444444444443</v>
      </c>
      <c r="AC378" s="103">
        <f t="shared" ca="1" si="483"/>
        <v>94.444444444444443</v>
      </c>
      <c r="AD378" s="103">
        <f t="shared" ca="1" si="483"/>
        <v>94.444444444444443</v>
      </c>
      <c r="AE378" s="104">
        <f ca="1">SUM(S378:AD378)</f>
        <v>1133.3333333333333</v>
      </c>
      <c r="AF378" s="104">
        <f>SUM(AF375:AF377)</f>
        <v>1133.3333333333333</v>
      </c>
      <c r="AG378" s="104">
        <f>SUM(AG375:AG377)</f>
        <v>950</v>
      </c>
      <c r="AH378" s="104">
        <f>SUM(AH375:AH377)</f>
        <v>483.33333333333331</v>
      </c>
      <c r="AI378" s="304" t="s">
        <v>321</v>
      </c>
    </row>
    <row r="379" spans="1:35">
      <c r="A379" s="96"/>
      <c r="B379" s="97"/>
      <c r="C379" s="98"/>
      <c r="D379" s="98"/>
      <c r="E379" s="98"/>
      <c r="F379" s="99"/>
      <c r="G379" s="99"/>
      <c r="H379" s="99"/>
      <c r="I379" s="99"/>
      <c r="J379" s="99"/>
      <c r="K379" s="99"/>
      <c r="L379" s="99"/>
      <c r="M379" s="99"/>
      <c r="N379" s="99"/>
      <c r="O379" s="99"/>
      <c r="P379" s="99"/>
      <c r="Q379" s="99"/>
      <c r="R379" s="100"/>
      <c r="S379" s="99"/>
      <c r="T379" s="99"/>
      <c r="U379" s="99"/>
      <c r="V379" s="99"/>
      <c r="W379" s="99"/>
      <c r="X379" s="99"/>
      <c r="Y379" s="99"/>
      <c r="Z379" s="99"/>
      <c r="AA379" s="99"/>
      <c r="AB379" s="99"/>
      <c r="AC379" s="99"/>
      <c r="AD379" s="99"/>
      <c r="AE379" s="100"/>
      <c r="AF379" s="100"/>
      <c r="AG379" s="100"/>
      <c r="AH379" s="100"/>
      <c r="AI379" s="304" t="s">
        <v>321</v>
      </c>
    </row>
    <row r="380" spans="1:35">
      <c r="A380" s="83" t="s">
        <v>259</v>
      </c>
      <c r="B380" s="102"/>
      <c r="C380" s="85"/>
      <c r="D380" s="85"/>
      <c r="E380" s="85"/>
      <c r="F380" s="103">
        <f>F366+F372+F378</f>
        <v>75</v>
      </c>
      <c r="G380" s="103">
        <f t="shared" ref="G380:Q380" si="484">G366+G372+G378</f>
        <v>75</v>
      </c>
      <c r="H380" s="103">
        <f t="shared" si="484"/>
        <v>75</v>
      </c>
      <c r="I380" s="103">
        <f t="shared" si="484"/>
        <v>75</v>
      </c>
      <c r="J380" s="103">
        <f t="shared" si="484"/>
        <v>75</v>
      </c>
      <c r="K380" s="103">
        <f t="shared" si="484"/>
        <v>135.41666666666669</v>
      </c>
      <c r="L380" s="103">
        <f t="shared" si="484"/>
        <v>135.41666666666669</v>
      </c>
      <c r="M380" s="103">
        <f t="shared" si="484"/>
        <v>135.41666666666669</v>
      </c>
      <c r="N380" s="103">
        <f t="shared" si="484"/>
        <v>135.41666666666669</v>
      </c>
      <c r="O380" s="103">
        <f t="shared" si="484"/>
        <v>135.41666666666669</v>
      </c>
      <c r="P380" s="103">
        <f t="shared" si="484"/>
        <v>135.41666666666669</v>
      </c>
      <c r="Q380" s="103">
        <f t="shared" si="484"/>
        <v>135.41666666666669</v>
      </c>
      <c r="R380" s="104">
        <f>SUM(F380:Q380)</f>
        <v>1322.916666666667</v>
      </c>
      <c r="S380" s="103">
        <f ca="1">S366+S372+S378</f>
        <v>270.83333333333337</v>
      </c>
      <c r="T380" s="103">
        <f t="shared" ref="T380:AD380" ca="1" si="485">T366+T372+T378</f>
        <v>350</v>
      </c>
      <c r="U380" s="103">
        <f t="shared" ca="1" si="485"/>
        <v>429.16666666666669</v>
      </c>
      <c r="V380" s="103">
        <f t="shared" ca="1" si="485"/>
        <v>429.16666666666669</v>
      </c>
      <c r="W380" s="103">
        <f t="shared" ca="1" si="485"/>
        <v>429.16666666666669</v>
      </c>
      <c r="X380" s="103">
        <f t="shared" ca="1" si="485"/>
        <v>429.16666666666669</v>
      </c>
      <c r="Y380" s="103">
        <f t="shared" ca="1" si="485"/>
        <v>429.16666666666669</v>
      </c>
      <c r="Z380" s="103">
        <f t="shared" ca="1" si="485"/>
        <v>429.16666666666669</v>
      </c>
      <c r="AA380" s="103">
        <f t="shared" ca="1" si="485"/>
        <v>429.16666666666669</v>
      </c>
      <c r="AB380" s="103">
        <f t="shared" ca="1" si="485"/>
        <v>429.16666666666669</v>
      </c>
      <c r="AC380" s="103">
        <f t="shared" ca="1" si="485"/>
        <v>429.16666666666669</v>
      </c>
      <c r="AD380" s="103">
        <f t="shared" ca="1" si="485"/>
        <v>429.16666666666669</v>
      </c>
      <c r="AE380" s="104">
        <f ca="1">SUM(S380:AD380)</f>
        <v>4912.5</v>
      </c>
      <c r="AF380" s="104">
        <f>AF366+AF372+AF378</f>
        <v>7266.6666666666661</v>
      </c>
      <c r="AG380" s="104">
        <f>AG366+AG372+AG378</f>
        <v>9433.3333333333339</v>
      </c>
      <c r="AH380" s="104">
        <f>AH366+AH372+AH378</f>
        <v>8133.333333333333</v>
      </c>
      <c r="AI380" s="304" t="s">
        <v>321</v>
      </c>
    </row>
    <row r="381" spans="1:35" ht="8.25" thickBot="1">
      <c r="A381" s="96"/>
      <c r="B381" s="97"/>
      <c r="C381" s="98"/>
      <c r="D381" s="98"/>
      <c r="E381" s="98"/>
      <c r="F381" s="99"/>
      <c r="G381" s="99"/>
      <c r="H381" s="99"/>
      <c r="I381" s="99"/>
      <c r="J381" s="99"/>
      <c r="K381" s="99"/>
      <c r="L381" s="99"/>
      <c r="M381" s="99"/>
      <c r="N381" s="99"/>
      <c r="O381" s="99"/>
      <c r="P381" s="99"/>
      <c r="Q381" s="99"/>
      <c r="R381" s="100"/>
      <c r="S381" s="99"/>
      <c r="T381" s="99"/>
      <c r="U381" s="99"/>
      <c r="V381" s="99"/>
      <c r="W381" s="99"/>
      <c r="X381" s="99"/>
      <c r="Y381" s="99"/>
      <c r="Z381" s="99"/>
      <c r="AA381" s="99"/>
      <c r="AB381" s="99"/>
      <c r="AC381" s="99"/>
      <c r="AD381" s="99"/>
      <c r="AE381" s="100"/>
      <c r="AF381" s="100"/>
      <c r="AG381" s="100"/>
      <c r="AH381" s="100"/>
      <c r="AI381" s="304" t="s">
        <v>321</v>
      </c>
    </row>
    <row r="382" spans="1:35" s="65" customFormat="1" ht="8.25" thickTop="1">
      <c r="A382" s="73" t="s">
        <v>6</v>
      </c>
      <c r="B382" s="74"/>
      <c r="C382" s="75"/>
      <c r="D382" s="75"/>
      <c r="E382" s="75"/>
      <c r="F382" s="105"/>
      <c r="G382" s="105"/>
      <c r="H382" s="105"/>
      <c r="I382" s="105"/>
      <c r="J382" s="105"/>
      <c r="K382" s="105"/>
      <c r="L382" s="105"/>
      <c r="M382" s="105"/>
      <c r="N382" s="105"/>
      <c r="O382" s="105"/>
      <c r="P382" s="105"/>
      <c r="Q382" s="105"/>
      <c r="R382" s="106"/>
      <c r="S382" s="105"/>
      <c r="T382" s="105"/>
      <c r="U382" s="105"/>
      <c r="V382" s="105"/>
      <c r="W382" s="105"/>
      <c r="X382" s="105"/>
      <c r="Y382" s="105"/>
      <c r="Z382" s="105"/>
      <c r="AA382" s="105"/>
      <c r="AB382" s="105"/>
      <c r="AC382" s="105"/>
      <c r="AD382" s="105"/>
      <c r="AE382" s="106"/>
      <c r="AF382" s="106"/>
      <c r="AG382" s="106"/>
      <c r="AH382" s="106"/>
      <c r="AI382" s="304" t="s">
        <v>321</v>
      </c>
    </row>
    <row r="383" spans="1:35" s="65" customFormat="1" ht="8.25" thickBot="1">
      <c r="A383" s="78" t="str">
        <f>$A$1</f>
        <v>PEP STRAW</v>
      </c>
      <c r="B383" s="79"/>
      <c r="C383" s="80"/>
      <c r="D383" s="80"/>
      <c r="E383" s="80"/>
      <c r="F383" s="107"/>
      <c r="G383" s="107"/>
      <c r="H383" s="107"/>
      <c r="I383" s="107"/>
      <c r="J383" s="107"/>
      <c r="K383" s="107"/>
      <c r="L383" s="107"/>
      <c r="M383" s="107"/>
      <c r="N383" s="107"/>
      <c r="O383" s="107"/>
      <c r="P383" s="107"/>
      <c r="Q383" s="107"/>
      <c r="R383" s="108"/>
      <c r="S383" s="107"/>
      <c r="T383" s="107"/>
      <c r="U383" s="107"/>
      <c r="V383" s="107"/>
      <c r="W383" s="107"/>
      <c r="X383" s="107"/>
      <c r="Y383" s="107"/>
      <c r="Z383" s="107"/>
      <c r="AA383" s="107"/>
      <c r="AB383" s="107"/>
      <c r="AC383" s="107"/>
      <c r="AD383" s="107"/>
      <c r="AE383" s="108"/>
      <c r="AF383" s="108"/>
      <c r="AG383" s="108"/>
      <c r="AH383" s="108"/>
      <c r="AI383" s="304" t="s">
        <v>321</v>
      </c>
    </row>
    <row r="384" spans="1:35" ht="8.25" thickTop="1">
      <c r="A384" s="83"/>
      <c r="B384" s="84">
        <f ca="1">NOW()</f>
        <v>44371.35163020833</v>
      </c>
      <c r="C384" s="138"/>
      <c r="D384" s="138"/>
      <c r="E384" s="138" t="s">
        <v>211</v>
      </c>
      <c r="F384" s="86" t="str">
        <f t="shared" ref="F384:Q384" si="486">F$8</f>
        <v>Month 1</v>
      </c>
      <c r="G384" s="86" t="str">
        <f t="shared" si="486"/>
        <v>Month 2</v>
      </c>
      <c r="H384" s="86" t="str">
        <f t="shared" si="486"/>
        <v>Month 3</v>
      </c>
      <c r="I384" s="86" t="str">
        <f t="shared" si="486"/>
        <v>Month 4</v>
      </c>
      <c r="J384" s="86" t="str">
        <f t="shared" si="486"/>
        <v>Month 5</v>
      </c>
      <c r="K384" s="86" t="str">
        <f t="shared" si="486"/>
        <v>Month 6</v>
      </c>
      <c r="L384" s="86" t="str">
        <f t="shared" si="486"/>
        <v>Month 7</v>
      </c>
      <c r="M384" s="86" t="str">
        <f t="shared" si="486"/>
        <v>Month 8</v>
      </c>
      <c r="N384" s="86" t="str">
        <f t="shared" si="486"/>
        <v>Month 9</v>
      </c>
      <c r="O384" s="86" t="str">
        <f t="shared" si="486"/>
        <v>Month 10</v>
      </c>
      <c r="P384" s="86" t="str">
        <f t="shared" si="486"/>
        <v>Month 11</v>
      </c>
      <c r="Q384" s="86" t="str">
        <f t="shared" si="486"/>
        <v>Month 12</v>
      </c>
      <c r="R384" s="87" t="s">
        <v>127</v>
      </c>
      <c r="S384" s="86" t="str">
        <f t="shared" ref="S384:AD384" si="487">S$8</f>
        <v>Month 13</v>
      </c>
      <c r="T384" s="86" t="str">
        <f t="shared" si="487"/>
        <v>Month 14</v>
      </c>
      <c r="U384" s="86" t="str">
        <f t="shared" si="487"/>
        <v>Month 15</v>
      </c>
      <c r="V384" s="86" t="str">
        <f t="shared" si="487"/>
        <v>Month 16</v>
      </c>
      <c r="W384" s="86" t="str">
        <f t="shared" si="487"/>
        <v>Month 17</v>
      </c>
      <c r="X384" s="86" t="str">
        <f t="shared" si="487"/>
        <v>Month 18</v>
      </c>
      <c r="Y384" s="86" t="str">
        <f t="shared" si="487"/>
        <v>Month 19</v>
      </c>
      <c r="Z384" s="86" t="str">
        <f t="shared" si="487"/>
        <v>Month 20</v>
      </c>
      <c r="AA384" s="86" t="str">
        <f t="shared" si="487"/>
        <v>Month 21</v>
      </c>
      <c r="AB384" s="86" t="str">
        <f t="shared" si="487"/>
        <v>Month 22</v>
      </c>
      <c r="AC384" s="86" t="str">
        <f t="shared" si="487"/>
        <v>Month 23</v>
      </c>
      <c r="AD384" s="86" t="str">
        <f t="shared" si="487"/>
        <v>Month 24</v>
      </c>
      <c r="AE384" s="87" t="s">
        <v>127</v>
      </c>
      <c r="AF384" s="87" t="str">
        <f>AF$8</f>
        <v>Total</v>
      </c>
      <c r="AG384" s="87" t="str">
        <f>AG$8</f>
        <v>Total</v>
      </c>
      <c r="AH384" s="87" t="str">
        <f>AH$8</f>
        <v>Total</v>
      </c>
      <c r="AI384" s="304" t="s">
        <v>321</v>
      </c>
    </row>
    <row r="385" spans="1:35">
      <c r="A385" s="89"/>
      <c r="B385" s="90">
        <f ca="1">NOW()</f>
        <v>44371.35163020833</v>
      </c>
      <c r="C385" s="91"/>
      <c r="D385" s="91"/>
      <c r="E385" s="91"/>
      <c r="F385" s="92">
        <f t="shared" ref="F385:AH385" si="488">F$1</f>
        <v>43466</v>
      </c>
      <c r="G385" s="92">
        <f t="shared" si="488"/>
        <v>43497</v>
      </c>
      <c r="H385" s="92">
        <f t="shared" si="488"/>
        <v>43528</v>
      </c>
      <c r="I385" s="92">
        <f t="shared" si="488"/>
        <v>43559</v>
      </c>
      <c r="J385" s="92">
        <f t="shared" si="488"/>
        <v>43590</v>
      </c>
      <c r="K385" s="92">
        <f t="shared" si="488"/>
        <v>43621</v>
      </c>
      <c r="L385" s="92">
        <f t="shared" si="488"/>
        <v>43652</v>
      </c>
      <c r="M385" s="92">
        <f t="shared" si="488"/>
        <v>43683</v>
      </c>
      <c r="N385" s="92">
        <f t="shared" si="488"/>
        <v>43714</v>
      </c>
      <c r="O385" s="92">
        <f t="shared" si="488"/>
        <v>43745</v>
      </c>
      <c r="P385" s="92">
        <f t="shared" si="488"/>
        <v>43776</v>
      </c>
      <c r="Q385" s="92">
        <f t="shared" si="488"/>
        <v>43807</v>
      </c>
      <c r="R385" s="93">
        <f t="shared" si="488"/>
        <v>43807</v>
      </c>
      <c r="S385" s="92">
        <f t="shared" si="488"/>
        <v>43838</v>
      </c>
      <c r="T385" s="92">
        <f t="shared" si="488"/>
        <v>43869</v>
      </c>
      <c r="U385" s="92">
        <f t="shared" si="488"/>
        <v>43900</v>
      </c>
      <c r="V385" s="92">
        <f t="shared" si="488"/>
        <v>43931</v>
      </c>
      <c r="W385" s="92">
        <f t="shared" si="488"/>
        <v>43962</v>
      </c>
      <c r="X385" s="92">
        <f t="shared" si="488"/>
        <v>43993</v>
      </c>
      <c r="Y385" s="92">
        <f t="shared" si="488"/>
        <v>44024</v>
      </c>
      <c r="Z385" s="92">
        <f t="shared" si="488"/>
        <v>44055</v>
      </c>
      <c r="AA385" s="92">
        <f t="shared" si="488"/>
        <v>44086</v>
      </c>
      <c r="AB385" s="92">
        <f t="shared" si="488"/>
        <v>44117</v>
      </c>
      <c r="AC385" s="92">
        <f t="shared" si="488"/>
        <v>44148</v>
      </c>
      <c r="AD385" s="92">
        <f t="shared" si="488"/>
        <v>44179</v>
      </c>
      <c r="AE385" s="93">
        <f t="shared" si="488"/>
        <v>44179</v>
      </c>
      <c r="AF385" s="93">
        <f t="shared" si="488"/>
        <v>44544</v>
      </c>
      <c r="AG385" s="93">
        <f t="shared" si="488"/>
        <v>44909</v>
      </c>
      <c r="AH385" s="93">
        <f t="shared" si="488"/>
        <v>45274</v>
      </c>
      <c r="AI385" s="304" t="s">
        <v>321</v>
      </c>
    </row>
    <row r="386" spans="1:35">
      <c r="A386" s="89"/>
      <c r="B386" s="90"/>
      <c r="C386" s="95"/>
      <c r="D386" s="95"/>
      <c r="E386" s="95"/>
      <c r="F386" s="92"/>
      <c r="G386" s="92"/>
      <c r="H386" s="92"/>
      <c r="I386" s="92"/>
      <c r="J386" s="92"/>
      <c r="K386" s="92"/>
      <c r="L386" s="92"/>
      <c r="M386" s="92"/>
      <c r="N386" s="92"/>
      <c r="O386" s="92"/>
      <c r="P386" s="92"/>
      <c r="Q386" s="92"/>
      <c r="R386" s="93"/>
      <c r="S386" s="92"/>
      <c r="T386" s="92"/>
      <c r="U386" s="92"/>
      <c r="V386" s="92"/>
      <c r="W386" s="92"/>
      <c r="X386" s="92"/>
      <c r="Y386" s="92"/>
      <c r="Z386" s="92"/>
      <c r="AA386" s="92"/>
      <c r="AB386" s="92"/>
      <c r="AC386" s="92"/>
      <c r="AD386" s="92"/>
      <c r="AE386" s="93"/>
      <c r="AF386" s="93"/>
      <c r="AG386" s="93"/>
      <c r="AH386" s="93"/>
      <c r="AI386" s="304" t="s">
        <v>321</v>
      </c>
    </row>
    <row r="387" spans="1:35">
      <c r="A387" s="96" t="s">
        <v>260</v>
      </c>
      <c r="B387" s="97"/>
      <c r="C387" s="98"/>
      <c r="D387" s="98"/>
      <c r="E387" s="98"/>
      <c r="F387" s="99"/>
      <c r="G387" s="99"/>
      <c r="H387" s="99"/>
      <c r="I387" s="99"/>
      <c r="J387" s="99"/>
      <c r="K387" s="99"/>
      <c r="L387" s="99"/>
      <c r="M387" s="99"/>
      <c r="N387" s="99"/>
      <c r="O387" s="99"/>
      <c r="P387" s="99"/>
      <c r="Q387" s="99"/>
      <c r="R387" s="100"/>
      <c r="S387" s="99"/>
      <c r="T387" s="99"/>
      <c r="U387" s="99"/>
      <c r="V387" s="99"/>
      <c r="W387" s="99"/>
      <c r="X387" s="99"/>
      <c r="Y387" s="99"/>
      <c r="Z387" s="99"/>
      <c r="AA387" s="99"/>
      <c r="AB387" s="99"/>
      <c r="AC387" s="99"/>
      <c r="AD387" s="99"/>
      <c r="AE387" s="100"/>
      <c r="AF387" s="100"/>
      <c r="AG387" s="100"/>
      <c r="AH387" s="100"/>
      <c r="AI387" s="304" t="s">
        <v>321</v>
      </c>
    </row>
    <row r="388" spans="1:35">
      <c r="A388" s="96"/>
      <c r="B388" s="97" t="s">
        <v>261</v>
      </c>
      <c r="C388" s="67"/>
      <c r="D388" s="67"/>
      <c r="E388" s="147">
        <v>0</v>
      </c>
      <c r="F388" s="67">
        <f>F389*F288</f>
        <v>180</v>
      </c>
      <c r="G388" s="67">
        <f t="shared" ref="G388:AD388" si="489">G389*G288</f>
        <v>180</v>
      </c>
      <c r="H388" s="67">
        <f t="shared" si="489"/>
        <v>180</v>
      </c>
      <c r="I388" s="67">
        <f t="shared" si="489"/>
        <v>180</v>
      </c>
      <c r="J388" s="67">
        <f t="shared" si="489"/>
        <v>180</v>
      </c>
      <c r="K388" s="67">
        <f t="shared" si="489"/>
        <v>315</v>
      </c>
      <c r="L388" s="67">
        <f t="shared" si="489"/>
        <v>315</v>
      </c>
      <c r="M388" s="67">
        <f t="shared" si="489"/>
        <v>315</v>
      </c>
      <c r="N388" s="67">
        <f t="shared" si="489"/>
        <v>315</v>
      </c>
      <c r="O388" s="67">
        <f t="shared" si="489"/>
        <v>315</v>
      </c>
      <c r="P388" s="67">
        <f t="shared" si="489"/>
        <v>315</v>
      </c>
      <c r="Q388" s="67">
        <f t="shared" si="489"/>
        <v>315</v>
      </c>
      <c r="R388" s="68">
        <f>Q388</f>
        <v>315</v>
      </c>
      <c r="S388" s="67">
        <f t="shared" si="489"/>
        <v>630</v>
      </c>
      <c r="T388" s="67">
        <f t="shared" si="489"/>
        <v>720</v>
      </c>
      <c r="U388" s="67">
        <f t="shared" si="489"/>
        <v>810</v>
      </c>
      <c r="V388" s="67">
        <f t="shared" si="489"/>
        <v>810</v>
      </c>
      <c r="W388" s="67">
        <f t="shared" si="489"/>
        <v>810</v>
      </c>
      <c r="X388" s="67">
        <f t="shared" si="489"/>
        <v>810</v>
      </c>
      <c r="Y388" s="67">
        <f t="shared" si="489"/>
        <v>810</v>
      </c>
      <c r="Z388" s="67">
        <f t="shared" si="489"/>
        <v>810</v>
      </c>
      <c r="AA388" s="67">
        <f t="shared" si="489"/>
        <v>810</v>
      </c>
      <c r="AB388" s="67">
        <f t="shared" si="489"/>
        <v>810</v>
      </c>
      <c r="AC388" s="67">
        <f t="shared" si="489"/>
        <v>810</v>
      </c>
      <c r="AD388" s="67">
        <f t="shared" si="489"/>
        <v>810</v>
      </c>
      <c r="AE388" s="68">
        <f>AD388</f>
        <v>810</v>
      </c>
      <c r="AF388" s="68">
        <f>AF389*AF288</f>
        <v>1080</v>
      </c>
      <c r="AG388" s="68">
        <f>AG389*AG288</f>
        <v>1620</v>
      </c>
      <c r="AH388" s="68">
        <f>AH389*AH288</f>
        <v>1800</v>
      </c>
      <c r="AI388" s="304" t="s">
        <v>321</v>
      </c>
    </row>
    <row r="389" spans="1:35">
      <c r="A389" s="96"/>
      <c r="B389" s="97" t="str">
        <f>"Square Footage per Person ("&amp;$C$389&amp;" ft. minimum)"</f>
        <v>Square Footage per Person (90 ft. minimum)</v>
      </c>
      <c r="C389" s="190">
        <f>Assumptions!I92</f>
        <v>90</v>
      </c>
      <c r="F389" s="99">
        <f>Assumptions!$I$92</f>
        <v>90</v>
      </c>
      <c r="G389" s="99">
        <f>Assumptions!$I$92</f>
        <v>90</v>
      </c>
      <c r="H389" s="99">
        <f>Assumptions!$I$92</f>
        <v>90</v>
      </c>
      <c r="I389" s="99">
        <f>Assumptions!$I$92</f>
        <v>90</v>
      </c>
      <c r="J389" s="99">
        <f>Assumptions!$I$92</f>
        <v>90</v>
      </c>
      <c r="K389" s="99">
        <f>Assumptions!$I$92</f>
        <v>90</v>
      </c>
      <c r="L389" s="99">
        <f>Assumptions!$I$92</f>
        <v>90</v>
      </c>
      <c r="M389" s="99">
        <f>Assumptions!$I$92</f>
        <v>90</v>
      </c>
      <c r="N389" s="99">
        <f>Assumptions!$I$92</f>
        <v>90</v>
      </c>
      <c r="O389" s="99">
        <f>Assumptions!$I$92</f>
        <v>90</v>
      </c>
      <c r="P389" s="99">
        <f>Assumptions!$I$92</f>
        <v>90</v>
      </c>
      <c r="Q389" s="99">
        <f>Assumptions!$I$92</f>
        <v>90</v>
      </c>
      <c r="R389" s="100">
        <f>Assumptions!$I$92</f>
        <v>90</v>
      </c>
      <c r="S389" s="99">
        <f>Assumptions!$I$92</f>
        <v>90</v>
      </c>
      <c r="T389" s="99">
        <f>Assumptions!$I$92</f>
        <v>90</v>
      </c>
      <c r="U389" s="99">
        <f>Assumptions!$I$92</f>
        <v>90</v>
      </c>
      <c r="V389" s="99">
        <f>Assumptions!$I$92</f>
        <v>90</v>
      </c>
      <c r="W389" s="99">
        <f>Assumptions!$I$92</f>
        <v>90</v>
      </c>
      <c r="X389" s="99">
        <f>Assumptions!$I$92</f>
        <v>90</v>
      </c>
      <c r="Y389" s="99">
        <f>Assumptions!$I$92</f>
        <v>90</v>
      </c>
      <c r="Z389" s="99">
        <f>Assumptions!$I$92</f>
        <v>90</v>
      </c>
      <c r="AA389" s="99">
        <f>Assumptions!$I$92</f>
        <v>90</v>
      </c>
      <c r="AB389" s="99">
        <f>Assumptions!$I$92</f>
        <v>90</v>
      </c>
      <c r="AC389" s="99">
        <f>Assumptions!$I$92</f>
        <v>90</v>
      </c>
      <c r="AD389" s="99">
        <f>Assumptions!$I$92</f>
        <v>90</v>
      </c>
      <c r="AE389" s="100">
        <f>Assumptions!$I$92</f>
        <v>90</v>
      </c>
      <c r="AF389" s="100">
        <f>Assumptions!$I$92</f>
        <v>90</v>
      </c>
      <c r="AG389" s="100">
        <f>Assumptions!$I$92</f>
        <v>90</v>
      </c>
      <c r="AH389" s="100">
        <f>Assumptions!$I$92</f>
        <v>90</v>
      </c>
      <c r="AI389" s="304" t="s">
        <v>321</v>
      </c>
    </row>
    <row r="390" spans="1:35" s="155" customFormat="1">
      <c r="A390" s="150"/>
      <c r="B390" s="151" t="s">
        <v>262</v>
      </c>
      <c r="C390" s="133">
        <f>Assumptions!I91</f>
        <v>10</v>
      </c>
      <c r="D390" s="325">
        <f>Assumptions!I93</f>
        <v>60</v>
      </c>
      <c r="E390" s="152"/>
      <c r="F390" s="192">
        <f>$C390</f>
        <v>10</v>
      </c>
      <c r="G390" s="192">
        <f t="shared" ref="G390:Q390" si="490">F390</f>
        <v>10</v>
      </c>
      <c r="H390" s="192">
        <f t="shared" si="490"/>
        <v>10</v>
      </c>
      <c r="I390" s="192">
        <f t="shared" si="490"/>
        <v>10</v>
      </c>
      <c r="J390" s="192">
        <f t="shared" si="490"/>
        <v>10</v>
      </c>
      <c r="K390" s="192">
        <f t="shared" si="490"/>
        <v>10</v>
      </c>
      <c r="L390" s="192">
        <f t="shared" si="490"/>
        <v>10</v>
      </c>
      <c r="M390" s="192">
        <f t="shared" si="490"/>
        <v>10</v>
      </c>
      <c r="N390" s="192">
        <f t="shared" si="490"/>
        <v>10</v>
      </c>
      <c r="O390" s="192">
        <f t="shared" si="490"/>
        <v>10</v>
      </c>
      <c r="P390" s="192">
        <f t="shared" si="490"/>
        <v>10</v>
      </c>
      <c r="Q390" s="192">
        <f t="shared" si="490"/>
        <v>10</v>
      </c>
      <c r="R390" s="193">
        <f>Q390</f>
        <v>10</v>
      </c>
      <c r="S390" s="192">
        <f>Q390</f>
        <v>10</v>
      </c>
      <c r="T390" s="192">
        <f t="shared" ref="T390:AD390" si="491">S390</f>
        <v>10</v>
      </c>
      <c r="U390" s="192">
        <f t="shared" si="491"/>
        <v>10</v>
      </c>
      <c r="V390" s="192">
        <f t="shared" si="491"/>
        <v>10</v>
      </c>
      <c r="W390" s="192">
        <f t="shared" si="491"/>
        <v>10</v>
      </c>
      <c r="X390" s="192">
        <f t="shared" si="491"/>
        <v>10</v>
      </c>
      <c r="Y390" s="192">
        <f t="shared" si="491"/>
        <v>10</v>
      </c>
      <c r="Z390" s="192">
        <f t="shared" si="491"/>
        <v>10</v>
      </c>
      <c r="AA390" s="192">
        <f t="shared" si="491"/>
        <v>10</v>
      </c>
      <c r="AB390" s="192">
        <f t="shared" si="491"/>
        <v>10</v>
      </c>
      <c r="AC390" s="192">
        <f t="shared" si="491"/>
        <v>10</v>
      </c>
      <c r="AD390" s="192">
        <f t="shared" si="491"/>
        <v>10</v>
      </c>
      <c r="AE390" s="193">
        <f>AD390</f>
        <v>10</v>
      </c>
      <c r="AF390" s="193">
        <f>AE390</f>
        <v>10</v>
      </c>
      <c r="AG390" s="193">
        <f>AF390</f>
        <v>10</v>
      </c>
      <c r="AH390" s="193">
        <f>AG390</f>
        <v>10</v>
      </c>
      <c r="AI390" s="304" t="s">
        <v>321</v>
      </c>
    </row>
    <row r="391" spans="1:35" ht="9">
      <c r="A391" s="96"/>
      <c r="B391" s="114" t="str">
        <f>"Total Office Rent ("&amp;$D$390&amp;" month lease)"</f>
        <v>Total Office Rent (60 month lease)</v>
      </c>
      <c r="C391" s="194"/>
      <c r="D391" s="98"/>
      <c r="E391" s="98"/>
      <c r="F391" s="321">
        <f>F388*F390</f>
        <v>1800</v>
      </c>
      <c r="G391" s="129">
        <f t="shared" ref="G391:Q391" si="492">G388*G390</f>
        <v>1800</v>
      </c>
      <c r="H391" s="129">
        <f t="shared" si="492"/>
        <v>1800</v>
      </c>
      <c r="I391" s="129">
        <f t="shared" si="492"/>
        <v>1800</v>
      </c>
      <c r="J391" s="129">
        <f t="shared" si="492"/>
        <v>1800</v>
      </c>
      <c r="K391" s="129">
        <f t="shared" si="492"/>
        <v>3150</v>
      </c>
      <c r="L391" s="129">
        <f t="shared" si="492"/>
        <v>3150</v>
      </c>
      <c r="M391" s="129">
        <f t="shared" si="492"/>
        <v>3150</v>
      </c>
      <c r="N391" s="129">
        <f t="shared" si="492"/>
        <v>3150</v>
      </c>
      <c r="O391" s="129">
        <f t="shared" si="492"/>
        <v>3150</v>
      </c>
      <c r="P391" s="129">
        <f t="shared" si="492"/>
        <v>3150</v>
      </c>
      <c r="Q391" s="129">
        <f t="shared" si="492"/>
        <v>3150</v>
      </c>
      <c r="R391" s="100">
        <f>SUM(F391:Q391)</f>
        <v>31050</v>
      </c>
      <c r="S391" s="129">
        <f t="shared" ref="S391" si="493">S388*S390</f>
        <v>6300</v>
      </c>
      <c r="T391" s="129">
        <f t="shared" ref="T391" si="494">T388*T390</f>
        <v>7200</v>
      </c>
      <c r="U391" s="129">
        <f t="shared" ref="U391" si="495">U388*U390</f>
        <v>8100</v>
      </c>
      <c r="V391" s="129">
        <f t="shared" ref="V391" si="496">V388*V390</f>
        <v>8100</v>
      </c>
      <c r="W391" s="129">
        <f t="shared" ref="W391" si="497">W388*W390</f>
        <v>8100</v>
      </c>
      <c r="X391" s="129">
        <f t="shared" ref="X391" si="498">X388*X390</f>
        <v>8100</v>
      </c>
      <c r="Y391" s="129">
        <f t="shared" ref="Y391" si="499">Y388*Y390</f>
        <v>8100</v>
      </c>
      <c r="Z391" s="129">
        <f t="shared" ref="Z391" si="500">Z388*Z390</f>
        <v>8100</v>
      </c>
      <c r="AA391" s="129">
        <f t="shared" ref="AA391" si="501">AA388*AA390</f>
        <v>8100</v>
      </c>
      <c r="AB391" s="129">
        <f t="shared" ref="AB391" si="502">AB388*AB390</f>
        <v>8100</v>
      </c>
      <c r="AC391" s="129">
        <f t="shared" ref="AC391" si="503">AC388*AC390</f>
        <v>8100</v>
      </c>
      <c r="AD391" s="129">
        <f t="shared" ref="AD391" si="504">AD388*AD390</f>
        <v>8100</v>
      </c>
      <c r="AE391" s="68">
        <f>SUM(S391:AD391)</f>
        <v>94500</v>
      </c>
      <c r="AF391" s="118">
        <f t="shared" ref="AF391" si="505">AF388*AF390</f>
        <v>10800</v>
      </c>
      <c r="AG391" s="118">
        <f t="shared" ref="AG391" si="506">AG388*AG390</f>
        <v>16200</v>
      </c>
      <c r="AH391" s="118">
        <f t="shared" ref="AH391" si="507">AH388*AH390</f>
        <v>18000</v>
      </c>
      <c r="AI391" s="304" t="s">
        <v>321</v>
      </c>
    </row>
    <row r="392" spans="1:35">
      <c r="A392" s="96"/>
      <c r="B392" s="97"/>
      <c r="C392" s="98"/>
      <c r="D392" s="98"/>
      <c r="E392" s="98"/>
      <c r="F392" s="99"/>
      <c r="G392" s="99"/>
      <c r="H392" s="99"/>
      <c r="I392" s="99"/>
      <c r="J392" s="99"/>
      <c r="K392" s="99"/>
      <c r="L392" s="99"/>
      <c r="M392" s="99"/>
      <c r="N392" s="99"/>
      <c r="O392" s="99"/>
      <c r="P392" s="99"/>
      <c r="Q392" s="99"/>
      <c r="R392" s="100"/>
      <c r="S392" s="99"/>
      <c r="T392" s="99"/>
      <c r="U392" s="99"/>
      <c r="V392" s="99"/>
      <c r="W392" s="99"/>
      <c r="X392" s="99"/>
      <c r="Y392" s="99"/>
      <c r="Z392" s="99"/>
      <c r="AA392" s="99"/>
      <c r="AB392" s="99"/>
      <c r="AC392" s="99"/>
      <c r="AD392" s="99"/>
      <c r="AE392" s="100"/>
      <c r="AF392" s="100"/>
      <c r="AG392" s="100"/>
      <c r="AH392" s="100"/>
      <c r="AI392" s="304" t="s">
        <v>321</v>
      </c>
    </row>
    <row r="393" spans="1:35">
      <c r="A393" s="96"/>
      <c r="B393" s="97"/>
      <c r="C393" s="98"/>
      <c r="D393" s="98"/>
      <c r="E393" s="98"/>
      <c r="F393" s="99"/>
      <c r="G393" s="99"/>
      <c r="H393" s="99"/>
      <c r="I393" s="99"/>
      <c r="J393" s="99"/>
      <c r="K393" s="99"/>
      <c r="L393" s="99"/>
      <c r="M393" s="99"/>
      <c r="N393" s="99"/>
      <c r="O393" s="99"/>
      <c r="P393" s="99"/>
      <c r="Q393" s="99"/>
      <c r="R393" s="100"/>
      <c r="S393" s="99"/>
      <c r="T393" s="99"/>
      <c r="U393" s="99"/>
      <c r="V393" s="99"/>
      <c r="W393" s="99"/>
      <c r="X393" s="99"/>
      <c r="Y393" s="99"/>
      <c r="Z393" s="99"/>
      <c r="AA393" s="99"/>
      <c r="AB393" s="99"/>
      <c r="AC393" s="99"/>
      <c r="AD393" s="99"/>
      <c r="AE393" s="100"/>
      <c r="AF393" s="100"/>
      <c r="AG393" s="100"/>
      <c r="AH393" s="100"/>
      <c r="AI393" s="304" t="s">
        <v>321</v>
      </c>
    </row>
    <row r="394" spans="1:35">
      <c r="A394" s="96" t="s">
        <v>263</v>
      </c>
      <c r="B394" s="97"/>
      <c r="C394" s="98"/>
      <c r="D394" s="98"/>
      <c r="E394" s="98"/>
      <c r="F394" s="99"/>
      <c r="G394" s="99"/>
      <c r="H394" s="99"/>
      <c r="I394" s="99"/>
      <c r="J394" s="99"/>
      <c r="K394" s="99"/>
      <c r="L394" s="99"/>
      <c r="M394" s="99"/>
      <c r="N394" s="99"/>
      <c r="O394" s="99"/>
      <c r="P394" s="99"/>
      <c r="Q394" s="99"/>
      <c r="R394" s="100"/>
      <c r="S394" s="99"/>
      <c r="T394" s="99"/>
      <c r="U394" s="99"/>
      <c r="V394" s="99"/>
      <c r="W394" s="99"/>
      <c r="X394" s="99"/>
      <c r="Y394" s="99"/>
      <c r="Z394" s="99"/>
      <c r="AA394" s="99"/>
      <c r="AB394" s="99"/>
      <c r="AC394" s="99"/>
      <c r="AD394" s="99"/>
      <c r="AE394" s="100"/>
      <c r="AF394" s="100"/>
      <c r="AG394" s="100"/>
      <c r="AH394" s="100"/>
      <c r="AI394" s="304" t="s">
        <v>321</v>
      </c>
    </row>
    <row r="395" spans="1:35">
      <c r="A395" s="96"/>
      <c r="B395" s="97" t="s">
        <v>264</v>
      </c>
      <c r="C395" s="98"/>
      <c r="D395" s="98"/>
      <c r="E395" s="98"/>
      <c r="F395" s="99">
        <f t="shared" ref="F395:Q395" ca="1" si="508">IF(+F163+E395&lt;0, +F163+E395,0)</f>
        <v>-7509.166666666667</v>
      </c>
      <c r="G395" s="99">
        <f t="shared" ca="1" si="508"/>
        <v>-15018.333333333334</v>
      </c>
      <c r="H395" s="99">
        <f t="shared" ca="1" si="508"/>
        <v>-37527.5</v>
      </c>
      <c r="I395" s="99">
        <f t="shared" ca="1" si="508"/>
        <v>-57864.836666666662</v>
      </c>
      <c r="J395" s="99">
        <f t="shared" ca="1" si="508"/>
        <v>-72116.263333333336</v>
      </c>
      <c r="K395" s="99">
        <f t="shared" ca="1" si="508"/>
        <v>-106339.68666666668</v>
      </c>
      <c r="L395" s="99">
        <f t="shared" ca="1" si="508"/>
        <v>-144477.20000000001</v>
      </c>
      <c r="M395" s="99">
        <f t="shared" ca="1" si="508"/>
        <v>-170669.65333333335</v>
      </c>
      <c r="N395" s="99">
        <f t="shared" ca="1" si="508"/>
        <v>-195776.18666666668</v>
      </c>
      <c r="O395" s="99">
        <f t="shared" ca="1" si="508"/>
        <v>-229796.81</v>
      </c>
      <c r="P395" s="99">
        <f t="shared" ca="1" si="508"/>
        <v>-264270.97333333333</v>
      </c>
      <c r="Q395" s="99">
        <f t="shared" ca="1" si="508"/>
        <v>-274401.47666666668</v>
      </c>
      <c r="R395" s="100">
        <f ca="1">Q395</f>
        <v>-274401.47666666668</v>
      </c>
      <c r="S395" s="99">
        <f ca="1">IF(+S163+Q395&lt;0, +S163+Q395,0)</f>
        <v>-350372.97333333333</v>
      </c>
      <c r="T395" s="99">
        <f t="shared" ref="T395:AD395" ca="1" si="509">IF(+T163+S395&lt;0, +T163+S395,0)</f>
        <v>-431064.37333333335</v>
      </c>
      <c r="U395" s="99">
        <f t="shared" ca="1" si="509"/>
        <v>-527412.77266666666</v>
      </c>
      <c r="V395" s="99">
        <f t="shared" ca="1" si="509"/>
        <v>-613847.61199999996</v>
      </c>
      <c r="W395" s="99">
        <f t="shared" ca="1" si="509"/>
        <v>-658585.91733333329</v>
      </c>
      <c r="X395" s="99">
        <f t="shared" ca="1" si="509"/>
        <v>-689521.91266666655</v>
      </c>
      <c r="Y395" s="99">
        <f t="shared" ca="1" si="509"/>
        <v>-720894.74199999985</v>
      </c>
      <c r="Z395" s="99">
        <f t="shared" ca="1" si="509"/>
        <v>-710138.88933333312</v>
      </c>
      <c r="AA395" s="99">
        <f t="shared" ca="1" si="509"/>
        <v>-675591.87666666647</v>
      </c>
      <c r="AB395" s="99">
        <f t="shared" ca="1" si="509"/>
        <v>-592899.7899999998</v>
      </c>
      <c r="AC395" s="99">
        <f t="shared" ca="1" si="509"/>
        <v>-505891.00133333297</v>
      </c>
      <c r="AD395" s="99">
        <f t="shared" ca="1" si="509"/>
        <v>-304845.72666666622</v>
      </c>
      <c r="AE395" s="100">
        <f ca="1">AD395</f>
        <v>-304845.72666666622</v>
      </c>
      <c r="AF395" s="100">
        <f ca="1">IF(+AF163+AE395&lt;0, +AF163+AE395,0)</f>
        <v>0</v>
      </c>
      <c r="AG395" s="100">
        <f ca="1">IF(+AG163+AF395&lt;0, +AG163+AF395,0)</f>
        <v>0</v>
      </c>
      <c r="AH395" s="100">
        <f ca="1">IF(+AH163+AG395&lt;0, +AH163+AG395,0)</f>
        <v>0</v>
      </c>
      <c r="AI395" s="304" t="s">
        <v>321</v>
      </c>
    </row>
    <row r="396" spans="1:35">
      <c r="A396" s="96"/>
      <c r="B396" s="97" t="s">
        <v>265</v>
      </c>
      <c r="C396" s="98"/>
      <c r="D396" s="98"/>
      <c r="E396" s="98"/>
      <c r="F396" s="99">
        <f t="shared" ref="F396:Q396" ca="1" si="510">IF(F395&lt;0,0,F163+E395)</f>
        <v>0</v>
      </c>
      <c r="G396" s="99">
        <f t="shared" ca="1" si="510"/>
        <v>0</v>
      </c>
      <c r="H396" s="99">
        <f t="shared" ca="1" si="510"/>
        <v>0</v>
      </c>
      <c r="I396" s="99">
        <f t="shared" ca="1" si="510"/>
        <v>0</v>
      </c>
      <c r="J396" s="99">
        <f t="shared" ca="1" si="510"/>
        <v>0</v>
      </c>
      <c r="K396" s="99">
        <f t="shared" ca="1" si="510"/>
        <v>0</v>
      </c>
      <c r="L396" s="99">
        <f t="shared" ca="1" si="510"/>
        <v>0</v>
      </c>
      <c r="M396" s="99">
        <f t="shared" ca="1" si="510"/>
        <v>0</v>
      </c>
      <c r="N396" s="99">
        <f t="shared" ca="1" si="510"/>
        <v>0</v>
      </c>
      <c r="O396" s="99">
        <f t="shared" ca="1" si="510"/>
        <v>0</v>
      </c>
      <c r="P396" s="99">
        <f t="shared" ca="1" si="510"/>
        <v>0</v>
      </c>
      <c r="Q396" s="99">
        <f t="shared" ca="1" si="510"/>
        <v>0</v>
      </c>
      <c r="R396" s="100">
        <f ca="1">Q396</f>
        <v>0</v>
      </c>
      <c r="S396" s="99">
        <f t="shared" ref="S396:AD396" ca="1" si="511">IF(S395&lt;0,0,S163+R395)</f>
        <v>0</v>
      </c>
      <c r="T396" s="99">
        <f t="shared" ca="1" si="511"/>
        <v>0</v>
      </c>
      <c r="U396" s="99">
        <f t="shared" ca="1" si="511"/>
        <v>0</v>
      </c>
      <c r="V396" s="99">
        <f t="shared" ca="1" si="511"/>
        <v>0</v>
      </c>
      <c r="W396" s="99">
        <f t="shared" ca="1" si="511"/>
        <v>0</v>
      </c>
      <c r="X396" s="99">
        <f t="shared" ca="1" si="511"/>
        <v>0</v>
      </c>
      <c r="Y396" s="99">
        <f t="shared" ca="1" si="511"/>
        <v>0</v>
      </c>
      <c r="Z396" s="99">
        <f t="shared" ca="1" si="511"/>
        <v>0</v>
      </c>
      <c r="AA396" s="99">
        <f t="shared" ca="1" si="511"/>
        <v>0</v>
      </c>
      <c r="AB396" s="99">
        <f t="shared" ca="1" si="511"/>
        <v>0</v>
      </c>
      <c r="AC396" s="99">
        <f t="shared" ca="1" si="511"/>
        <v>0</v>
      </c>
      <c r="AD396" s="99">
        <f t="shared" ca="1" si="511"/>
        <v>0</v>
      </c>
      <c r="AE396" s="100">
        <f ca="1">AD396</f>
        <v>0</v>
      </c>
      <c r="AF396" s="100">
        <f ca="1">IF(AF395&lt;0,0,AF163+AE395)</f>
        <v>1536591.5316666667</v>
      </c>
      <c r="AG396" s="100">
        <f ca="1">IF(AG395&lt;0,0,AG163+AF395)</f>
        <v>3346650.0676666666</v>
      </c>
      <c r="AH396" s="100">
        <f ca="1">IF(AH395&lt;0,0,AH163+AG395)</f>
        <v>4070816.280666668</v>
      </c>
      <c r="AI396" s="304" t="s">
        <v>321</v>
      </c>
    </row>
    <row r="397" spans="1:35">
      <c r="A397" s="96"/>
      <c r="B397" s="97" t="str">
        <f>"Tax Expense ("&amp;$C$397*100&amp;"%)"</f>
        <v>Tax Expense (40%)</v>
      </c>
      <c r="C397" s="195">
        <f>Assumptions!I90</f>
        <v>0.4</v>
      </c>
      <c r="D397" s="98"/>
      <c r="E397" s="98"/>
      <c r="F397" s="99">
        <f t="shared" ref="F397:Q397" ca="1" si="512">IF($R163&lt;0,0,$C$397*F396)</f>
        <v>0</v>
      </c>
      <c r="G397" s="99">
        <f t="shared" ca="1" si="512"/>
        <v>0</v>
      </c>
      <c r="H397" s="99">
        <f t="shared" ca="1" si="512"/>
        <v>0</v>
      </c>
      <c r="I397" s="99">
        <f t="shared" ca="1" si="512"/>
        <v>0</v>
      </c>
      <c r="J397" s="99">
        <f t="shared" ca="1" si="512"/>
        <v>0</v>
      </c>
      <c r="K397" s="99">
        <f t="shared" ca="1" si="512"/>
        <v>0</v>
      </c>
      <c r="L397" s="99">
        <f t="shared" ca="1" si="512"/>
        <v>0</v>
      </c>
      <c r="M397" s="99">
        <f t="shared" ca="1" si="512"/>
        <v>0</v>
      </c>
      <c r="N397" s="99">
        <f t="shared" ca="1" si="512"/>
        <v>0</v>
      </c>
      <c r="O397" s="99">
        <f t="shared" ca="1" si="512"/>
        <v>0</v>
      </c>
      <c r="P397" s="99">
        <f t="shared" ca="1" si="512"/>
        <v>0</v>
      </c>
      <c r="Q397" s="99">
        <f t="shared" ca="1" si="512"/>
        <v>0</v>
      </c>
      <c r="R397" s="100">
        <f ca="1">SUM(F397:Q397)</f>
        <v>0</v>
      </c>
      <c r="S397" s="99">
        <f ca="1">IF($AE163&lt;0,0,$C$397*S396)</f>
        <v>0</v>
      </c>
      <c r="T397" s="99">
        <f t="shared" ref="T397:AD397" ca="1" si="513">IF($AE163&lt;0,0,$C$397*T396)</f>
        <v>0</v>
      </c>
      <c r="U397" s="99">
        <f t="shared" ca="1" si="513"/>
        <v>0</v>
      </c>
      <c r="V397" s="99">
        <f t="shared" ca="1" si="513"/>
        <v>0</v>
      </c>
      <c r="W397" s="99">
        <f t="shared" ca="1" si="513"/>
        <v>0</v>
      </c>
      <c r="X397" s="99">
        <f t="shared" ca="1" si="513"/>
        <v>0</v>
      </c>
      <c r="Y397" s="99">
        <f t="shared" ca="1" si="513"/>
        <v>0</v>
      </c>
      <c r="Z397" s="99">
        <f t="shared" ca="1" si="513"/>
        <v>0</v>
      </c>
      <c r="AA397" s="99">
        <f t="shared" ca="1" si="513"/>
        <v>0</v>
      </c>
      <c r="AB397" s="99">
        <f t="shared" ca="1" si="513"/>
        <v>0</v>
      </c>
      <c r="AC397" s="99">
        <f t="shared" ca="1" si="513"/>
        <v>0</v>
      </c>
      <c r="AD397" s="99">
        <f t="shared" ca="1" si="513"/>
        <v>0</v>
      </c>
      <c r="AE397" s="100">
        <f ca="1">SUM(S397:AD397)</f>
        <v>0</v>
      </c>
      <c r="AF397" s="100">
        <f ca="1">$C$397*AF396</f>
        <v>614636.61266666674</v>
      </c>
      <c r="AG397" s="100">
        <f ca="1">$C$397*AG396</f>
        <v>1338660.0270666666</v>
      </c>
      <c r="AH397" s="100">
        <f ca="1">$C$397*AH396</f>
        <v>1628326.5122666673</v>
      </c>
      <c r="AI397" s="304" t="s">
        <v>321</v>
      </c>
    </row>
    <row r="398" spans="1:35" ht="8.25" thickBot="1">
      <c r="A398" s="96"/>
      <c r="B398" s="97"/>
      <c r="C398" s="195"/>
      <c r="D398" s="98"/>
      <c r="E398" s="98"/>
      <c r="F398" s="99"/>
      <c r="G398" s="99"/>
      <c r="H398" s="99"/>
      <c r="I398" s="99"/>
      <c r="J398" s="99"/>
      <c r="K398" s="99"/>
      <c r="L398" s="99"/>
      <c r="M398" s="99"/>
      <c r="N398" s="99"/>
      <c r="O398" s="99"/>
      <c r="P398" s="99"/>
      <c r="Q398" s="99"/>
      <c r="R398" s="100"/>
      <c r="S398" s="99"/>
      <c r="T398" s="99"/>
      <c r="U398" s="99"/>
      <c r="V398" s="99"/>
      <c r="W398" s="99"/>
      <c r="X398" s="99"/>
      <c r="Y398" s="99"/>
      <c r="Z398" s="99"/>
      <c r="AA398" s="99"/>
      <c r="AB398" s="99"/>
      <c r="AC398" s="99"/>
      <c r="AD398" s="99"/>
      <c r="AE398" s="100"/>
      <c r="AF398" s="100"/>
      <c r="AG398" s="100"/>
      <c r="AH398" s="100"/>
      <c r="AI398" s="304" t="s">
        <v>321</v>
      </c>
    </row>
    <row r="399" spans="1:35" s="65" customFormat="1" ht="8.25" thickTop="1">
      <c r="A399" s="73" t="s">
        <v>7</v>
      </c>
      <c r="B399" s="74"/>
      <c r="C399" s="75"/>
      <c r="D399" s="75"/>
      <c r="E399" s="75"/>
      <c r="F399" s="105"/>
      <c r="G399" s="105"/>
      <c r="H399" s="105"/>
      <c r="I399" s="105"/>
      <c r="J399" s="105"/>
      <c r="K399" s="105"/>
      <c r="L399" s="105"/>
      <c r="M399" s="105"/>
      <c r="N399" s="105"/>
      <c r="O399" s="105"/>
      <c r="P399" s="105"/>
      <c r="Q399" s="105"/>
      <c r="R399" s="106"/>
      <c r="S399" s="105"/>
      <c r="T399" s="105"/>
      <c r="U399" s="105"/>
      <c r="V399" s="105"/>
      <c r="W399" s="105"/>
      <c r="X399" s="105"/>
      <c r="Y399" s="105"/>
      <c r="Z399" s="105"/>
      <c r="AA399" s="105"/>
      <c r="AB399" s="105"/>
      <c r="AC399" s="105"/>
      <c r="AD399" s="105"/>
      <c r="AE399" s="106"/>
      <c r="AF399" s="106"/>
      <c r="AG399" s="106"/>
      <c r="AH399" s="106"/>
      <c r="AI399" s="304" t="s">
        <v>321</v>
      </c>
    </row>
    <row r="400" spans="1:35" s="65" customFormat="1" ht="8.25" thickBot="1">
      <c r="A400" s="78" t="str">
        <f>$A$1</f>
        <v>PEP STRAW</v>
      </c>
      <c r="B400" s="79"/>
      <c r="C400" s="80"/>
      <c r="D400" s="80"/>
      <c r="E400" s="80"/>
      <c r="F400" s="107"/>
      <c r="G400" s="107"/>
      <c r="H400" s="107"/>
      <c r="I400" s="107"/>
      <c r="J400" s="107"/>
      <c r="K400" s="107"/>
      <c r="L400" s="107"/>
      <c r="M400" s="107"/>
      <c r="N400" s="107"/>
      <c r="O400" s="107"/>
      <c r="P400" s="107"/>
      <c r="Q400" s="107"/>
      <c r="R400" s="108"/>
      <c r="S400" s="107"/>
      <c r="T400" s="107"/>
      <c r="U400" s="107"/>
      <c r="V400" s="107"/>
      <c r="W400" s="107"/>
      <c r="X400" s="107"/>
      <c r="Y400" s="107"/>
      <c r="Z400" s="107"/>
      <c r="AA400" s="107"/>
      <c r="AB400" s="107"/>
      <c r="AC400" s="107"/>
      <c r="AD400" s="107"/>
      <c r="AE400" s="108"/>
      <c r="AF400" s="108"/>
      <c r="AG400" s="108"/>
      <c r="AH400" s="108"/>
      <c r="AI400" s="304" t="s">
        <v>321</v>
      </c>
    </row>
    <row r="401" spans="1:35" ht="8.25" thickTop="1">
      <c r="A401" s="83"/>
      <c r="B401" s="84">
        <f ca="1">NOW()</f>
        <v>44371.35163020833</v>
      </c>
      <c r="C401" s="85"/>
      <c r="D401" s="85"/>
      <c r="E401" s="85"/>
      <c r="F401" s="86" t="str">
        <f t="shared" ref="F401:Q401" si="514">F$8</f>
        <v>Month 1</v>
      </c>
      <c r="G401" s="86" t="str">
        <f t="shared" si="514"/>
        <v>Month 2</v>
      </c>
      <c r="H401" s="86" t="str">
        <f t="shared" si="514"/>
        <v>Month 3</v>
      </c>
      <c r="I401" s="86" t="str">
        <f t="shared" si="514"/>
        <v>Month 4</v>
      </c>
      <c r="J401" s="86" t="str">
        <f t="shared" si="514"/>
        <v>Month 5</v>
      </c>
      <c r="K401" s="86" t="str">
        <f t="shared" si="514"/>
        <v>Month 6</v>
      </c>
      <c r="L401" s="86" t="str">
        <f t="shared" si="514"/>
        <v>Month 7</v>
      </c>
      <c r="M401" s="86" t="str">
        <f t="shared" si="514"/>
        <v>Month 8</v>
      </c>
      <c r="N401" s="86" t="str">
        <f t="shared" si="514"/>
        <v>Month 9</v>
      </c>
      <c r="O401" s="86" t="str">
        <f t="shared" si="514"/>
        <v>Month 10</v>
      </c>
      <c r="P401" s="86" t="str">
        <f t="shared" si="514"/>
        <v>Month 11</v>
      </c>
      <c r="Q401" s="86" t="str">
        <f t="shared" si="514"/>
        <v>Month 12</v>
      </c>
      <c r="R401" s="87" t="s">
        <v>127</v>
      </c>
      <c r="S401" s="86" t="str">
        <f t="shared" ref="S401:AD401" si="515">S$8</f>
        <v>Month 13</v>
      </c>
      <c r="T401" s="86" t="str">
        <f t="shared" si="515"/>
        <v>Month 14</v>
      </c>
      <c r="U401" s="86" t="str">
        <f t="shared" si="515"/>
        <v>Month 15</v>
      </c>
      <c r="V401" s="86" t="str">
        <f t="shared" si="515"/>
        <v>Month 16</v>
      </c>
      <c r="W401" s="86" t="str">
        <f t="shared" si="515"/>
        <v>Month 17</v>
      </c>
      <c r="X401" s="86" t="str">
        <f t="shared" si="515"/>
        <v>Month 18</v>
      </c>
      <c r="Y401" s="86" t="str">
        <f t="shared" si="515"/>
        <v>Month 19</v>
      </c>
      <c r="Z401" s="86" t="str">
        <f t="shared" si="515"/>
        <v>Month 20</v>
      </c>
      <c r="AA401" s="86" t="str">
        <f t="shared" si="515"/>
        <v>Month 21</v>
      </c>
      <c r="AB401" s="86" t="str">
        <f t="shared" si="515"/>
        <v>Month 22</v>
      </c>
      <c r="AC401" s="86" t="str">
        <f t="shared" si="515"/>
        <v>Month 23</v>
      </c>
      <c r="AD401" s="86" t="str">
        <f t="shared" si="515"/>
        <v>Month 24</v>
      </c>
      <c r="AE401" s="87" t="s">
        <v>127</v>
      </c>
      <c r="AF401" s="87" t="str">
        <f>AF$8</f>
        <v>Total</v>
      </c>
      <c r="AG401" s="87" t="str">
        <f>AG$8</f>
        <v>Total</v>
      </c>
      <c r="AH401" s="87" t="str">
        <f>AH$8</f>
        <v>Total</v>
      </c>
      <c r="AI401" s="304" t="s">
        <v>321</v>
      </c>
    </row>
    <row r="402" spans="1:35">
      <c r="A402" s="89"/>
      <c r="B402" s="90">
        <f ca="1">NOW()</f>
        <v>44371.35163020833</v>
      </c>
      <c r="C402" s="91"/>
      <c r="D402" s="91"/>
      <c r="E402" s="91"/>
      <c r="F402" s="92">
        <f t="shared" ref="F402:AH402" si="516">F$1</f>
        <v>43466</v>
      </c>
      <c r="G402" s="92">
        <f t="shared" si="516"/>
        <v>43497</v>
      </c>
      <c r="H402" s="92">
        <f t="shared" si="516"/>
        <v>43528</v>
      </c>
      <c r="I402" s="92">
        <f t="shared" si="516"/>
        <v>43559</v>
      </c>
      <c r="J402" s="92">
        <f t="shared" si="516"/>
        <v>43590</v>
      </c>
      <c r="K402" s="92">
        <f t="shared" si="516"/>
        <v>43621</v>
      </c>
      <c r="L402" s="92">
        <f t="shared" si="516"/>
        <v>43652</v>
      </c>
      <c r="M402" s="92">
        <f t="shared" si="516"/>
        <v>43683</v>
      </c>
      <c r="N402" s="92">
        <f t="shared" si="516"/>
        <v>43714</v>
      </c>
      <c r="O402" s="92">
        <f t="shared" si="516"/>
        <v>43745</v>
      </c>
      <c r="P402" s="92">
        <f t="shared" si="516"/>
        <v>43776</v>
      </c>
      <c r="Q402" s="92">
        <f t="shared" si="516"/>
        <v>43807</v>
      </c>
      <c r="R402" s="93">
        <f t="shared" si="516"/>
        <v>43807</v>
      </c>
      <c r="S402" s="92">
        <f t="shared" si="516"/>
        <v>43838</v>
      </c>
      <c r="T402" s="92">
        <f t="shared" si="516"/>
        <v>43869</v>
      </c>
      <c r="U402" s="92">
        <f t="shared" si="516"/>
        <v>43900</v>
      </c>
      <c r="V402" s="92">
        <f t="shared" si="516"/>
        <v>43931</v>
      </c>
      <c r="W402" s="92">
        <f t="shared" si="516"/>
        <v>43962</v>
      </c>
      <c r="X402" s="92">
        <f t="shared" si="516"/>
        <v>43993</v>
      </c>
      <c r="Y402" s="92">
        <f t="shared" si="516"/>
        <v>44024</v>
      </c>
      <c r="Z402" s="92">
        <f t="shared" si="516"/>
        <v>44055</v>
      </c>
      <c r="AA402" s="92">
        <f t="shared" si="516"/>
        <v>44086</v>
      </c>
      <c r="AB402" s="92">
        <f t="shared" si="516"/>
        <v>44117</v>
      </c>
      <c r="AC402" s="92">
        <f t="shared" si="516"/>
        <v>44148</v>
      </c>
      <c r="AD402" s="92">
        <f t="shared" si="516"/>
        <v>44179</v>
      </c>
      <c r="AE402" s="93">
        <f t="shared" si="516"/>
        <v>44179</v>
      </c>
      <c r="AF402" s="93">
        <f t="shared" si="516"/>
        <v>44544</v>
      </c>
      <c r="AG402" s="93">
        <f t="shared" si="516"/>
        <v>44909</v>
      </c>
      <c r="AH402" s="93">
        <f t="shared" si="516"/>
        <v>45274</v>
      </c>
      <c r="AI402" s="304" t="s">
        <v>321</v>
      </c>
    </row>
    <row r="403" spans="1:35">
      <c r="A403" s="89"/>
      <c r="B403" s="90"/>
      <c r="C403" s="95"/>
      <c r="D403" s="95"/>
      <c r="E403" s="95"/>
      <c r="F403" s="92"/>
      <c r="G403" s="92"/>
      <c r="H403" s="92"/>
      <c r="I403" s="92"/>
      <c r="J403" s="92"/>
      <c r="K403" s="92"/>
      <c r="L403" s="92"/>
      <c r="M403" s="92"/>
      <c r="N403" s="92"/>
      <c r="O403" s="92"/>
      <c r="P403" s="92"/>
      <c r="Q403" s="92"/>
      <c r="R403" s="93"/>
      <c r="S403" s="92"/>
      <c r="T403" s="92"/>
      <c r="U403" s="92"/>
      <c r="V403" s="92"/>
      <c r="W403" s="92"/>
      <c r="X403" s="92"/>
      <c r="Y403" s="92"/>
      <c r="Z403" s="92"/>
      <c r="AA403" s="92"/>
      <c r="AB403" s="92"/>
      <c r="AC403" s="92"/>
      <c r="AD403" s="92"/>
      <c r="AE403" s="93"/>
      <c r="AF403" s="93"/>
      <c r="AG403" s="93"/>
      <c r="AH403" s="93"/>
      <c r="AI403" s="304" t="s">
        <v>321</v>
      </c>
    </row>
    <row r="404" spans="1:35">
      <c r="A404" s="89" t="s">
        <v>266</v>
      </c>
      <c r="B404" s="90"/>
      <c r="C404" s="95"/>
      <c r="D404" s="95"/>
      <c r="E404" s="95"/>
      <c r="F404" s="92"/>
      <c r="G404" s="92"/>
      <c r="H404" s="92"/>
      <c r="I404" s="92"/>
      <c r="J404" s="92"/>
      <c r="K404" s="92"/>
      <c r="L404" s="92"/>
      <c r="M404" s="92"/>
      <c r="N404" s="92"/>
      <c r="O404" s="92"/>
      <c r="P404" s="92"/>
      <c r="Q404" s="92"/>
      <c r="R404" s="93"/>
      <c r="S404" s="92"/>
      <c r="T404" s="92"/>
      <c r="U404" s="92"/>
      <c r="V404" s="92"/>
      <c r="W404" s="92"/>
      <c r="X404" s="92"/>
      <c r="Y404" s="92"/>
      <c r="Z404" s="92"/>
      <c r="AA404" s="92"/>
      <c r="AB404" s="92"/>
      <c r="AC404" s="92"/>
      <c r="AD404" s="92"/>
      <c r="AE404" s="93"/>
      <c r="AF404" s="93"/>
      <c r="AG404" s="93"/>
      <c r="AH404" s="93"/>
      <c r="AI404" s="304" t="s">
        <v>321</v>
      </c>
    </row>
    <row r="405" spans="1:35">
      <c r="A405" s="89"/>
      <c r="B405" s="90"/>
      <c r="C405" s="95"/>
      <c r="D405" s="95"/>
      <c r="E405" s="95"/>
      <c r="F405" s="92"/>
      <c r="G405" s="92"/>
      <c r="H405" s="92"/>
      <c r="I405" s="92"/>
      <c r="J405" s="92"/>
      <c r="K405" s="92"/>
      <c r="L405" s="92"/>
      <c r="M405" s="92"/>
      <c r="N405" s="92"/>
      <c r="O405" s="92"/>
      <c r="P405" s="92"/>
      <c r="Q405" s="92"/>
      <c r="R405" s="93"/>
      <c r="S405" s="92"/>
      <c r="T405" s="92"/>
      <c r="U405" s="92"/>
      <c r="V405" s="92"/>
      <c r="W405" s="92"/>
      <c r="X405" s="92"/>
      <c r="Y405" s="92"/>
      <c r="Z405" s="92"/>
      <c r="AA405" s="92"/>
      <c r="AB405" s="92"/>
      <c r="AC405" s="92"/>
      <c r="AD405" s="92"/>
      <c r="AE405" s="93"/>
      <c r="AF405" s="93"/>
      <c r="AG405" s="93"/>
      <c r="AH405" s="93"/>
      <c r="AI405" s="304" t="s">
        <v>321</v>
      </c>
    </row>
    <row r="406" spans="1:35">
      <c r="A406" s="89" t="s">
        <v>267</v>
      </c>
      <c r="B406" s="90"/>
      <c r="C406" s="95"/>
      <c r="D406" s="95"/>
      <c r="E406" s="95"/>
      <c r="F406" s="92"/>
      <c r="G406" s="92"/>
      <c r="H406" s="92"/>
      <c r="I406" s="92"/>
      <c r="J406" s="92"/>
      <c r="K406" s="92"/>
      <c r="L406" s="92"/>
      <c r="M406" s="92"/>
      <c r="N406" s="92"/>
      <c r="O406" s="92"/>
      <c r="P406" s="92"/>
      <c r="Q406" s="92"/>
      <c r="R406" s="93"/>
      <c r="S406" s="92"/>
      <c r="T406" s="92"/>
      <c r="U406" s="92"/>
      <c r="V406" s="92"/>
      <c r="W406" s="92"/>
      <c r="X406" s="92"/>
      <c r="Y406" s="92"/>
      <c r="Z406" s="92"/>
      <c r="AA406" s="92"/>
      <c r="AB406" s="92"/>
      <c r="AC406" s="92"/>
      <c r="AD406" s="92"/>
      <c r="AE406" s="93"/>
      <c r="AF406" s="93"/>
      <c r="AG406" s="93"/>
      <c r="AH406" s="93"/>
      <c r="AI406" s="304" t="s">
        <v>321</v>
      </c>
    </row>
    <row r="407" spans="1:35">
      <c r="A407" s="89"/>
      <c r="B407" s="90" t="s">
        <v>268</v>
      </c>
      <c r="C407" s="95"/>
      <c r="D407" s="95"/>
      <c r="E407" s="95"/>
      <c r="F407" s="99">
        <f ca="1">IF(F205-E205&gt;0,F205-E205,0)</f>
        <v>0</v>
      </c>
      <c r="G407" s="99">
        <f t="shared" ref="G407:Q407" ca="1" si="517">IF(G205-F205&gt;0,G205-F205,0)</f>
        <v>0</v>
      </c>
      <c r="H407" s="99">
        <f t="shared" ca="1" si="517"/>
        <v>0</v>
      </c>
      <c r="I407" s="99">
        <f t="shared" ca="1" si="517"/>
        <v>0</v>
      </c>
      <c r="J407" s="99">
        <f t="shared" ca="1" si="517"/>
        <v>0</v>
      </c>
      <c r="K407" s="99">
        <f t="shared" ca="1" si="517"/>
        <v>0</v>
      </c>
      <c r="L407" s="99">
        <f t="shared" ca="1" si="517"/>
        <v>0</v>
      </c>
      <c r="M407" s="99">
        <f t="shared" ca="1" si="517"/>
        <v>0</v>
      </c>
      <c r="N407" s="99">
        <f t="shared" ca="1" si="517"/>
        <v>0</v>
      </c>
      <c r="O407" s="99">
        <f t="shared" ca="1" si="517"/>
        <v>0</v>
      </c>
      <c r="P407" s="99">
        <f t="shared" ca="1" si="517"/>
        <v>0</v>
      </c>
      <c r="Q407" s="99">
        <f t="shared" ca="1" si="517"/>
        <v>0</v>
      </c>
      <c r="R407" s="68">
        <f ca="1">SUM(F407:Q407)</f>
        <v>0</v>
      </c>
      <c r="S407" s="99">
        <f ca="1">IF(S205-R205&gt;0,S205-R205,0)</f>
        <v>0</v>
      </c>
      <c r="T407" s="99">
        <f t="shared" ref="T407:AG407" ca="1" si="518">IF(T205-S205&gt;0,T205-S205,0)</f>
        <v>0</v>
      </c>
      <c r="U407" s="99">
        <f t="shared" ca="1" si="518"/>
        <v>0</v>
      </c>
      <c r="V407" s="99">
        <f t="shared" ca="1" si="518"/>
        <v>0</v>
      </c>
      <c r="W407" s="99">
        <f t="shared" ca="1" si="518"/>
        <v>0</v>
      </c>
      <c r="X407" s="99">
        <f t="shared" ca="1" si="518"/>
        <v>0</v>
      </c>
      <c r="Y407" s="99">
        <f t="shared" ca="1" si="518"/>
        <v>0</v>
      </c>
      <c r="Z407" s="99">
        <f t="shared" ca="1" si="518"/>
        <v>0</v>
      </c>
      <c r="AA407" s="99">
        <f t="shared" ca="1" si="518"/>
        <v>0</v>
      </c>
      <c r="AB407" s="99">
        <f t="shared" ca="1" si="518"/>
        <v>0</v>
      </c>
      <c r="AC407" s="99">
        <f t="shared" ca="1" si="518"/>
        <v>0</v>
      </c>
      <c r="AD407" s="99">
        <f t="shared" ca="1" si="518"/>
        <v>0</v>
      </c>
      <c r="AE407" s="68">
        <f ca="1">SUM(S407:AD407)</f>
        <v>0</v>
      </c>
      <c r="AF407" s="100">
        <f t="shared" ca="1" si="518"/>
        <v>0</v>
      </c>
      <c r="AG407" s="100">
        <f t="shared" si="518"/>
        <v>0</v>
      </c>
      <c r="AH407" s="100">
        <f>IF(AH205-AG205&gt;0,AH205-AG205,0)</f>
        <v>0</v>
      </c>
      <c r="AI407" s="304" t="s">
        <v>321</v>
      </c>
    </row>
    <row r="408" spans="1:35">
      <c r="A408" s="89"/>
      <c r="B408" s="90" t="s">
        <v>269</v>
      </c>
      <c r="C408" s="95"/>
      <c r="D408" s="95"/>
      <c r="E408" s="95"/>
      <c r="F408" s="99">
        <f t="shared" ref="F408:Q408" si="519">F355</f>
        <v>0</v>
      </c>
      <c r="G408" s="99">
        <f t="shared" si="519"/>
        <v>0</v>
      </c>
      <c r="H408" s="99">
        <f t="shared" si="519"/>
        <v>0</v>
      </c>
      <c r="I408" s="99">
        <f t="shared" si="519"/>
        <v>0</v>
      </c>
      <c r="J408" s="99">
        <f t="shared" si="519"/>
        <v>0</v>
      </c>
      <c r="K408" s="99">
        <f t="shared" si="519"/>
        <v>0</v>
      </c>
      <c r="L408" s="99">
        <f t="shared" si="519"/>
        <v>0</v>
      </c>
      <c r="M408" s="99">
        <f t="shared" si="519"/>
        <v>0</v>
      </c>
      <c r="N408" s="99">
        <f t="shared" si="519"/>
        <v>0</v>
      </c>
      <c r="O408" s="99">
        <f t="shared" si="519"/>
        <v>0</v>
      </c>
      <c r="P408" s="99">
        <f t="shared" si="519"/>
        <v>0</v>
      </c>
      <c r="Q408" s="99">
        <f t="shared" si="519"/>
        <v>0</v>
      </c>
      <c r="R408" s="68">
        <f>SUM(F408:Q408)</f>
        <v>0</v>
      </c>
      <c r="S408" s="99">
        <f t="shared" ref="S408:AD408" si="520">S355</f>
        <v>0</v>
      </c>
      <c r="T408" s="99">
        <f t="shared" si="520"/>
        <v>0</v>
      </c>
      <c r="U408" s="99">
        <f t="shared" si="520"/>
        <v>0</v>
      </c>
      <c r="V408" s="99">
        <f t="shared" si="520"/>
        <v>0</v>
      </c>
      <c r="W408" s="99">
        <f t="shared" si="520"/>
        <v>0</v>
      </c>
      <c r="X408" s="99">
        <f t="shared" si="520"/>
        <v>0</v>
      </c>
      <c r="Y408" s="99">
        <f t="shared" si="520"/>
        <v>0</v>
      </c>
      <c r="Z408" s="99">
        <f t="shared" si="520"/>
        <v>0</v>
      </c>
      <c r="AA408" s="99">
        <f t="shared" si="520"/>
        <v>0</v>
      </c>
      <c r="AB408" s="99">
        <f t="shared" si="520"/>
        <v>0</v>
      </c>
      <c r="AC408" s="99">
        <f t="shared" si="520"/>
        <v>0</v>
      </c>
      <c r="AD408" s="99">
        <f t="shared" si="520"/>
        <v>0</v>
      </c>
      <c r="AE408" s="68">
        <f>SUM(S408:AD408)</f>
        <v>0</v>
      </c>
      <c r="AF408" s="100">
        <f>AF355</f>
        <v>0</v>
      </c>
      <c r="AG408" s="100">
        <f>AG355</f>
        <v>0</v>
      </c>
      <c r="AH408" s="100">
        <f>AH355</f>
        <v>0</v>
      </c>
      <c r="AI408" s="304" t="s">
        <v>321</v>
      </c>
    </row>
    <row r="409" spans="1:35">
      <c r="A409" s="89"/>
      <c r="B409" s="90" t="s">
        <v>270</v>
      </c>
      <c r="C409" s="95"/>
      <c r="D409" s="95"/>
      <c r="E409" s="95"/>
      <c r="F409" s="148">
        <v>0</v>
      </c>
      <c r="G409" s="148">
        <v>0</v>
      </c>
      <c r="H409" s="148">
        <v>0</v>
      </c>
      <c r="I409" s="148">
        <v>0</v>
      </c>
      <c r="J409" s="148">
        <v>0</v>
      </c>
      <c r="K409" s="148">
        <v>0</v>
      </c>
      <c r="L409" s="148">
        <v>0</v>
      </c>
      <c r="M409" s="148">
        <v>0</v>
      </c>
      <c r="N409" s="148">
        <v>0</v>
      </c>
      <c r="O409" s="148">
        <v>0</v>
      </c>
      <c r="P409" s="148">
        <v>0</v>
      </c>
      <c r="Q409" s="148">
        <v>0</v>
      </c>
      <c r="R409" s="302">
        <f>SUM(F409:Q409)</f>
        <v>0</v>
      </c>
      <c r="S409" s="148">
        <v>0</v>
      </c>
      <c r="T409" s="148">
        <v>0</v>
      </c>
      <c r="U409" s="148">
        <v>0</v>
      </c>
      <c r="V409" s="148">
        <v>0</v>
      </c>
      <c r="W409" s="148">
        <v>0</v>
      </c>
      <c r="X409" s="148">
        <v>0</v>
      </c>
      <c r="Y409" s="148">
        <v>0</v>
      </c>
      <c r="Z409" s="148">
        <v>0</v>
      </c>
      <c r="AA409" s="148">
        <v>0</v>
      </c>
      <c r="AB409" s="148">
        <v>0</v>
      </c>
      <c r="AC409" s="148">
        <v>0</v>
      </c>
      <c r="AD409" s="148">
        <v>0</v>
      </c>
      <c r="AE409" s="302">
        <f>SUM(S409:AD409)</f>
        <v>0</v>
      </c>
      <c r="AF409" s="149">
        <v>0</v>
      </c>
      <c r="AG409" s="149">
        <v>0</v>
      </c>
      <c r="AH409" s="149">
        <v>0</v>
      </c>
      <c r="AI409" s="304" t="s">
        <v>321</v>
      </c>
    </row>
    <row r="410" spans="1:35" s="103" customFormat="1">
      <c r="A410" s="83" t="s">
        <v>271</v>
      </c>
      <c r="B410" s="102"/>
      <c r="F410" s="103">
        <f t="shared" ref="F410:O410" ca="1" si="521">SUM(F407:F409)</f>
        <v>0</v>
      </c>
      <c r="G410" s="103">
        <f t="shared" ca="1" si="521"/>
        <v>0</v>
      </c>
      <c r="H410" s="103">
        <f t="shared" ca="1" si="521"/>
        <v>0</v>
      </c>
      <c r="I410" s="103">
        <f t="shared" ca="1" si="521"/>
        <v>0</v>
      </c>
      <c r="J410" s="103">
        <f t="shared" ca="1" si="521"/>
        <v>0</v>
      </c>
      <c r="K410" s="103">
        <f t="shared" ca="1" si="521"/>
        <v>0</v>
      </c>
      <c r="L410" s="103">
        <f t="shared" ca="1" si="521"/>
        <v>0</v>
      </c>
      <c r="M410" s="103">
        <f t="shared" ca="1" si="521"/>
        <v>0</v>
      </c>
      <c r="N410" s="103">
        <f t="shared" ca="1" si="521"/>
        <v>0</v>
      </c>
      <c r="O410" s="103">
        <f t="shared" ca="1" si="521"/>
        <v>0</v>
      </c>
      <c r="P410" s="103">
        <f t="shared" ref="P410:Y410" ca="1" si="522">SUM(P407:P409)</f>
        <v>0</v>
      </c>
      <c r="Q410" s="103">
        <f t="shared" ca="1" si="522"/>
        <v>0</v>
      </c>
      <c r="R410" s="104">
        <f t="shared" ca="1" si="522"/>
        <v>0</v>
      </c>
      <c r="S410" s="103">
        <f t="shared" ca="1" si="522"/>
        <v>0</v>
      </c>
      <c r="T410" s="103">
        <f t="shared" ca="1" si="522"/>
        <v>0</v>
      </c>
      <c r="U410" s="103">
        <f t="shared" ca="1" si="522"/>
        <v>0</v>
      </c>
      <c r="V410" s="103">
        <f t="shared" ca="1" si="522"/>
        <v>0</v>
      </c>
      <c r="W410" s="103">
        <f t="shared" ca="1" si="522"/>
        <v>0</v>
      </c>
      <c r="X410" s="103">
        <f t="shared" ca="1" si="522"/>
        <v>0</v>
      </c>
      <c r="Y410" s="103">
        <f t="shared" ca="1" si="522"/>
        <v>0</v>
      </c>
      <c r="Z410" s="103">
        <f t="shared" ref="Z410:AH410" ca="1" si="523">SUM(Z407:Z409)</f>
        <v>0</v>
      </c>
      <c r="AA410" s="103">
        <f t="shared" ca="1" si="523"/>
        <v>0</v>
      </c>
      <c r="AB410" s="103">
        <f t="shared" ca="1" si="523"/>
        <v>0</v>
      </c>
      <c r="AC410" s="103">
        <f t="shared" ca="1" si="523"/>
        <v>0</v>
      </c>
      <c r="AD410" s="103">
        <f t="shared" ca="1" si="523"/>
        <v>0</v>
      </c>
      <c r="AE410" s="104">
        <f t="shared" ca="1" si="523"/>
        <v>0</v>
      </c>
      <c r="AF410" s="104">
        <f t="shared" ca="1" si="523"/>
        <v>0</v>
      </c>
      <c r="AG410" s="104">
        <f t="shared" si="523"/>
        <v>0</v>
      </c>
      <c r="AH410" s="104">
        <f t="shared" si="523"/>
        <v>0</v>
      </c>
      <c r="AI410" s="304" t="s">
        <v>321</v>
      </c>
    </row>
    <row r="411" spans="1:35">
      <c r="A411" s="89"/>
      <c r="B411" s="90"/>
      <c r="C411" s="95"/>
      <c r="D411" s="95"/>
      <c r="E411" s="95"/>
      <c r="F411" s="92"/>
      <c r="G411" s="92"/>
      <c r="H411" s="92"/>
      <c r="I411" s="92"/>
      <c r="J411" s="92"/>
      <c r="K411" s="92"/>
      <c r="L411" s="92"/>
      <c r="M411" s="92"/>
      <c r="N411" s="92"/>
      <c r="O411" s="92"/>
      <c r="P411" s="92"/>
      <c r="Q411" s="92"/>
      <c r="R411" s="93"/>
      <c r="S411" s="92"/>
      <c r="T411" s="92"/>
      <c r="U411" s="92"/>
      <c r="V411" s="92"/>
      <c r="W411" s="92"/>
      <c r="X411" s="92"/>
      <c r="Y411" s="92"/>
      <c r="Z411" s="92"/>
      <c r="AA411" s="92"/>
      <c r="AB411" s="92"/>
      <c r="AC411" s="92"/>
      <c r="AD411" s="92"/>
      <c r="AE411" s="93"/>
      <c r="AF411" s="93"/>
      <c r="AG411" s="93"/>
      <c r="AH411" s="93"/>
      <c r="AI411" s="304" t="s">
        <v>321</v>
      </c>
    </row>
    <row r="412" spans="1:35">
      <c r="A412" s="89" t="s">
        <v>272</v>
      </c>
      <c r="B412" s="90"/>
      <c r="C412" s="95"/>
      <c r="D412" s="95"/>
      <c r="E412" s="95"/>
      <c r="F412" s="92"/>
      <c r="G412" s="92"/>
      <c r="H412" s="92"/>
      <c r="I412" s="92"/>
      <c r="J412" s="92"/>
      <c r="K412" s="92"/>
      <c r="L412" s="92"/>
      <c r="M412" s="92"/>
      <c r="N412" s="92"/>
      <c r="O412" s="92"/>
      <c r="P412" s="92"/>
      <c r="Q412" s="92"/>
      <c r="R412" s="93"/>
      <c r="S412" s="92"/>
      <c r="T412" s="92"/>
      <c r="U412" s="92"/>
      <c r="V412" s="92"/>
      <c r="W412" s="92"/>
      <c r="X412" s="92"/>
      <c r="Y412" s="92"/>
      <c r="Z412" s="92"/>
      <c r="AA412" s="92"/>
      <c r="AB412" s="92"/>
      <c r="AC412" s="92"/>
      <c r="AD412" s="92"/>
      <c r="AE412" s="93"/>
      <c r="AF412" s="93"/>
      <c r="AG412" s="93"/>
      <c r="AH412" s="93"/>
      <c r="AI412" s="304" t="s">
        <v>321</v>
      </c>
    </row>
    <row r="413" spans="1:35">
      <c r="A413" s="89"/>
      <c r="B413" s="90" t="s">
        <v>268</v>
      </c>
      <c r="C413" s="95"/>
      <c r="D413" s="95"/>
      <c r="E413" s="95"/>
      <c r="F413" s="99">
        <f ca="1">IF(F205-E205&lt;0,-(F205-E205),0)</f>
        <v>0</v>
      </c>
      <c r="G413" s="99">
        <f t="shared" ref="G413:Q413" ca="1" si="524">IF(G205-F205&lt;0,-(G205-F205),0)</f>
        <v>0</v>
      </c>
      <c r="H413" s="99">
        <f t="shared" ca="1" si="524"/>
        <v>0</v>
      </c>
      <c r="I413" s="99">
        <f t="shared" ca="1" si="524"/>
        <v>0</v>
      </c>
      <c r="J413" s="99">
        <f t="shared" ca="1" si="524"/>
        <v>0</v>
      </c>
      <c r="K413" s="99">
        <f t="shared" ca="1" si="524"/>
        <v>0</v>
      </c>
      <c r="L413" s="99">
        <f t="shared" ca="1" si="524"/>
        <v>0</v>
      </c>
      <c r="M413" s="99">
        <f t="shared" ca="1" si="524"/>
        <v>0</v>
      </c>
      <c r="N413" s="99">
        <f t="shared" ca="1" si="524"/>
        <v>0</v>
      </c>
      <c r="O413" s="99">
        <f t="shared" ca="1" si="524"/>
        <v>0</v>
      </c>
      <c r="P413" s="99">
        <f t="shared" ca="1" si="524"/>
        <v>0</v>
      </c>
      <c r="Q413" s="99">
        <f t="shared" ca="1" si="524"/>
        <v>0</v>
      </c>
      <c r="R413" s="68">
        <f ca="1">SUM(F413:Q413)</f>
        <v>0</v>
      </c>
      <c r="S413" s="99">
        <f ca="1">IF(S205-R205&lt;0,-(S205-R205),0)</f>
        <v>0</v>
      </c>
      <c r="T413" s="99">
        <f t="shared" ref="T413:AH413" ca="1" si="525">IF(T205-S205&lt;0,-(T205-S205),0)</f>
        <v>0</v>
      </c>
      <c r="U413" s="99">
        <f t="shared" ca="1" si="525"/>
        <v>0</v>
      </c>
      <c r="V413" s="99">
        <f t="shared" ca="1" si="525"/>
        <v>0</v>
      </c>
      <c r="W413" s="99">
        <f t="shared" ca="1" si="525"/>
        <v>0</v>
      </c>
      <c r="X413" s="99">
        <f t="shared" ca="1" si="525"/>
        <v>0</v>
      </c>
      <c r="Y413" s="99">
        <f t="shared" ca="1" si="525"/>
        <v>0</v>
      </c>
      <c r="Z413" s="99">
        <f t="shared" ca="1" si="525"/>
        <v>0</v>
      </c>
      <c r="AA413" s="99">
        <f t="shared" ca="1" si="525"/>
        <v>0</v>
      </c>
      <c r="AB413" s="99">
        <f t="shared" ca="1" si="525"/>
        <v>0</v>
      </c>
      <c r="AC413" s="99">
        <f t="shared" ca="1" si="525"/>
        <v>0</v>
      </c>
      <c r="AD413" s="99">
        <f t="shared" ca="1" si="525"/>
        <v>0</v>
      </c>
      <c r="AE413" s="68">
        <f ca="1">SUM(S413:AD413)</f>
        <v>0</v>
      </c>
      <c r="AF413" s="100">
        <f t="shared" ca="1" si="525"/>
        <v>0</v>
      </c>
      <c r="AG413" s="100">
        <f t="shared" si="525"/>
        <v>0</v>
      </c>
      <c r="AH413" s="100">
        <f t="shared" si="525"/>
        <v>0</v>
      </c>
      <c r="AI413" s="304" t="s">
        <v>321</v>
      </c>
    </row>
    <row r="414" spans="1:35">
      <c r="A414" s="96"/>
      <c r="B414" s="97" t="s">
        <v>269</v>
      </c>
      <c r="C414" s="95"/>
      <c r="D414" s="95"/>
      <c r="E414" s="95"/>
      <c r="F414" s="99">
        <f>SUM($F408:F408)/$C$211/12</f>
        <v>0</v>
      </c>
      <c r="G414" s="99">
        <f>SUM($F408:G408)/$C$211/12</f>
        <v>0</v>
      </c>
      <c r="H414" s="99">
        <f>SUM($F408:H408)/$C$211/12</f>
        <v>0</v>
      </c>
      <c r="I414" s="99">
        <f>SUM($F408:I408)/$C$211/12</f>
        <v>0</v>
      </c>
      <c r="J414" s="99">
        <f>SUM($F408:J408)/$C$211/12</f>
        <v>0</v>
      </c>
      <c r="K414" s="99">
        <f>SUM($F408:K408)/$C$211/12</f>
        <v>0</v>
      </c>
      <c r="L414" s="99">
        <f>SUM($F408:L408)/$C$211/12</f>
        <v>0</v>
      </c>
      <c r="M414" s="99">
        <f>SUM($F408:M408)/$C$211/12</f>
        <v>0</v>
      </c>
      <c r="N414" s="99">
        <f>SUM($F408:N408)/$C$211/12</f>
        <v>0</v>
      </c>
      <c r="O414" s="99">
        <f>SUM($F408:O408)/$C$211/12</f>
        <v>0</v>
      </c>
      <c r="P414" s="99">
        <f>SUM($F408:P408)/$C$211/12</f>
        <v>0</v>
      </c>
      <c r="Q414" s="99">
        <f>SUM($F408:Q408)/$C$211/12</f>
        <v>0</v>
      </c>
      <c r="R414" s="68">
        <f>SUM(F414:Q414)</f>
        <v>0</v>
      </c>
      <c r="S414" s="99">
        <f ca="1">IF($C$211&gt;1,(SUM($F408:S408)-$R408)/$C$211/12,(SUM(OFFSET(S408,0,-(($C$211*12)+1)):S408)-$R408)/$C$211/12)</f>
        <v>0</v>
      </c>
      <c r="T414" s="99">
        <f ca="1">IF($C$211&gt;1,(SUM($F408:T408)-$R408)/$C$211/12,(SUM(OFFSET(T408,0,-(($C$211*12)+1)):T408)-$R408)/$C$211/12)</f>
        <v>0</v>
      </c>
      <c r="U414" s="99">
        <f ca="1">IF($C$211&gt;1,(SUM($F408:U408)-$R408)/$C$211/12,(SUM(OFFSET(U408,0,-(($C$211*12)+1)):U408)-$R408)/$C$211/12)</f>
        <v>0</v>
      </c>
      <c r="V414" s="99">
        <f ca="1">IF($C$211&gt;1,(SUM($F408:V408)-$R408)/$C$211/12,(SUM(OFFSET(V408,0,-(($C$211*12)+1)):V408)-$R408)/$C$211/12)</f>
        <v>0</v>
      </c>
      <c r="W414" s="99">
        <f ca="1">IF($C$211&gt;1,(SUM($F408:W408)-$R408)/$C$211/12,(SUM(OFFSET(W408,0,-(($C$211*12)+1)):W408)-$R408)/$C$211/12)</f>
        <v>0</v>
      </c>
      <c r="X414" s="99">
        <f ca="1">IF($C$211&gt;1,(SUM($F408:X408)-$R408)/$C$211/12,(SUM(OFFSET(X408,0,-(($C$211*12)+1)):X408)-$R408)/$C$211/12)</f>
        <v>0</v>
      </c>
      <c r="Y414" s="99">
        <f ca="1">IF($C$211&gt;1,(SUM($F408:Y408)-$R408)/$C$211/12,(SUM(OFFSET(Y408,0,-(($C$211*12)+1)):Y408)-$R408)/$C$211/12)</f>
        <v>0</v>
      </c>
      <c r="Z414" s="99">
        <f ca="1">IF($C$211&gt;1,(SUM($F408:Z408)-$R408)/$C$211/12,(SUM(OFFSET(Z408,0,-(($C$211*12)+1)):Z408)-$R408)/$C$211/12)</f>
        <v>0</v>
      </c>
      <c r="AA414" s="99">
        <f ca="1">IF($C$211&gt;1,(SUM($F408:AA408)-$R408)/$C$211/12,(SUM(OFFSET(AA408,0,-(($C$211*12)+1)):AA408)-$R408)/$C$211/12)</f>
        <v>0</v>
      </c>
      <c r="AB414" s="99">
        <f ca="1">IF($C$211&gt;1,(SUM($F408:AB408)-$R408)/$C$211/12,(SUM(OFFSET(AB408,0,-(($C$211*12)+1)):AB408)-$R408)/$C$211/12)</f>
        <v>0</v>
      </c>
      <c r="AC414" s="99">
        <f ca="1">IF($C$211&gt;1,(SUM($F408:AC408)-$R408)/$C$211/12,(SUM(OFFSET(AC408,0,-(($C$211*12)+1)):AC408)-$R408)/$C$211/12)</f>
        <v>0</v>
      </c>
      <c r="AD414" s="99">
        <f ca="1">IF($C$211&gt;1,(SUM($F408:AD408)-$R408)/$C$211/12,(SUM(OFFSET(AD408,0,-(($C$211*12)+1)):AD408)-$R408)/$C$211/12)</f>
        <v>0</v>
      </c>
      <c r="AE414" s="68">
        <f ca="1">SUM(S414:AD414)</f>
        <v>0</v>
      </c>
      <c r="AF414" s="100">
        <f>IF($C$211&gt;=2,($AF408+$AE408+$R408+$F408)/$C$211,IF($C$211&gt;=1,($AF408+$AE408)/$C$211,($AF408)/$C$211))</f>
        <v>0</v>
      </c>
      <c r="AG414" s="100">
        <f>IF($C$211&gt;=3,($AG408+$AF408+$AE408+$R408+$F408)/$C$211,IF($C$211&gt;=2,($AG408 +$AF408+$AE408)/$C$211,IF($C$211&gt;=1,($AG408+$AF408)/$C$211,($AG408)/$C$211)))</f>
        <v>0</v>
      </c>
      <c r="AH414" s="100">
        <f>IF($C$211&gt;=4,($AH408+$AG408+$AF408+$AE408+$R408+$F408)/$C$211,IF($C$211&gt;=3,($AH408+$AG408 +$AF408+$AE408)/$C$211,IF($C$211&gt;=2,($AH408+$AG408+$AF408)/$C$211,($AH408+$AG408)/$C$211)))</f>
        <v>0</v>
      </c>
      <c r="AI414" s="304" t="s">
        <v>321</v>
      </c>
    </row>
    <row r="415" spans="1:35">
      <c r="A415" s="96"/>
      <c r="B415" s="97" t="s">
        <v>270</v>
      </c>
      <c r="C415" s="95"/>
      <c r="D415" s="95"/>
      <c r="E415" s="95"/>
      <c r="F415" s="99">
        <f>SUM($F409:F409)/$C$212/12</f>
        <v>0</v>
      </c>
      <c r="G415" s="99">
        <f>SUM($F409:G409)/$C$212/12</f>
        <v>0</v>
      </c>
      <c r="H415" s="99">
        <f>SUM($F409:H409)/$C$212/12</f>
        <v>0</v>
      </c>
      <c r="I415" s="99">
        <f>SUM($F409:I409)/$C$212/12</f>
        <v>0</v>
      </c>
      <c r="J415" s="99">
        <f>SUM($F409:J409)/$C$212/12</f>
        <v>0</v>
      </c>
      <c r="K415" s="99">
        <f>SUM($F409:K409)/$C$212/12</f>
        <v>0</v>
      </c>
      <c r="L415" s="99">
        <f>SUM($F409:L409)/$C$212/12</f>
        <v>0</v>
      </c>
      <c r="M415" s="99">
        <f>SUM($F409:M409)/$C$212/12</f>
        <v>0</v>
      </c>
      <c r="N415" s="99">
        <f>SUM($F409:N409)/$C$212/12</f>
        <v>0</v>
      </c>
      <c r="O415" s="99">
        <f>SUM($F409:O409)/$C$212/12</f>
        <v>0</v>
      </c>
      <c r="P415" s="99">
        <f>SUM($F409:P409)/$C$212/12</f>
        <v>0</v>
      </c>
      <c r="Q415" s="99">
        <f>SUM($F409:Q409)/$C$212/12</f>
        <v>0</v>
      </c>
      <c r="R415" s="68">
        <f>SUM(F415:Q415)</f>
        <v>0</v>
      </c>
      <c r="S415" s="99">
        <f ca="1">IF($C$212&gt;1,(SUM($F409:S409)-$R409)/$C$212/12,(SUM(OFFSET(S409,0,-(($C$212*12)+1)):S409)-$R409)/$C$212/12)</f>
        <v>0</v>
      </c>
      <c r="T415" s="99">
        <f ca="1">IF($C$212&gt;1,(SUM($F409:T409)-$R409)/$C$212/12,(SUM(OFFSET(T409,0,-(($C$212*12)+1)):T409)-$R409)/$C$212/12)</f>
        <v>0</v>
      </c>
      <c r="U415" s="99">
        <f ca="1">IF($C$212&gt;1,(SUM($F409:U409)-$R409)/$C$212/12,(SUM(OFFSET(U409,0,-(($C$212*12)+1)):U409)-$R409)/$C$212/12)</f>
        <v>0</v>
      </c>
      <c r="V415" s="99">
        <f ca="1">IF($C$212&gt;1,(SUM($F409:V409)-$R409)/$C$212/12,(SUM(OFFSET(V409,0,-(($C$212*12)+1)):V409)-$R409)/$C$212/12)</f>
        <v>0</v>
      </c>
      <c r="W415" s="99">
        <f ca="1">IF($C$212&gt;1,(SUM($F409:W409)-$R409)/$C$212/12,(SUM(OFFSET(W409,0,-(($C$212*12)+1)):W409)-$R409)/$C$212/12)</f>
        <v>0</v>
      </c>
      <c r="X415" s="99">
        <f ca="1">IF($C$212&gt;1,(SUM($F409:X409)-$R409)/$C$212/12,(SUM(OFFSET(X409,0,-(($C$212*12)+1)):X409)-$R409)/$C$212/12)</f>
        <v>0</v>
      </c>
      <c r="Y415" s="99">
        <f ca="1">IF($C$212&gt;1,(SUM($F409:Y409)-$R409)/$C$212/12,(SUM(OFFSET(Y409,0,-(($C$212*12)+1)):Y409)-$R409)/$C$212/12)</f>
        <v>0</v>
      </c>
      <c r="Z415" s="99">
        <f ca="1">IF($C$212&gt;1,(SUM($F409:Z409)-$R409)/$C$212/12,(SUM(OFFSET(Z409,0,-(($C$212*12)+1)):Z409)-$R409)/$C$212/12)</f>
        <v>0</v>
      </c>
      <c r="AA415" s="99">
        <f ca="1">IF($C$212&gt;1,(SUM($F409:AA409)-$R409)/$C$212/12,(SUM(OFFSET(AA409,0,-(($C$212*12)+1)):AA409)-$R409)/$C$212/12)</f>
        <v>0</v>
      </c>
      <c r="AB415" s="99">
        <f ca="1">IF($C$212&gt;1,(SUM($F409:AB409)-$R409)/$C$212/12,(SUM(OFFSET(AB409,0,-(($C$212*12)+1)):AB409)-$R409)/$C$212/12)</f>
        <v>0</v>
      </c>
      <c r="AC415" s="99">
        <f ca="1">IF($C$212&gt;1,(SUM($F409:AC409)-$R409)/$C$212/12,(SUM(OFFSET(AC409,0,-(($C$212*12)+1)):AC409)-$R409)/$C$212/12)</f>
        <v>0</v>
      </c>
      <c r="AD415" s="99">
        <f ca="1">IF($C$212&gt;1,(SUM($F409:AD409)-$R409)/$C$212/12,(SUM(OFFSET(AD409,0,-(($C$212*12)+1)):AD409)-$R409)/$C$212/12)</f>
        <v>0</v>
      </c>
      <c r="AE415" s="68">
        <f ca="1">SUM(S415:AD415)</f>
        <v>0</v>
      </c>
      <c r="AF415" s="100">
        <f>IF($C$212&gt;=2,($AF409+$AE409+$R409)/$C$212,IF($C$212&gt;=1,($AF409+$AE409)/$C$212,($AF409)/$C$212))</f>
        <v>0</v>
      </c>
      <c r="AG415" s="100">
        <f>IF($C$212&gt;=3,($AG409+$AF409+$AE409+$R409)/$C$212,IF($C$212&gt;=2,($AG409 +$AF409+$AE409)/$C$212,IF($C$212&gt;=1,($AG409+$AF409)/$C$212,($AG409)/$C$212)))</f>
        <v>0</v>
      </c>
      <c r="AH415" s="100">
        <f>IF($C$212&gt;=4,($AH409+$AG409+$AF409+$AE409+$R409)/$C$212,IF($C$212&gt;=3,($AH409+$AG409 +$AF409+$AE409)/$C$212,IF($C$212&gt;=2,($AH409+$AG409+$AF409)/$C$212,($AH409+$AG409)/$C$212)))</f>
        <v>0</v>
      </c>
      <c r="AI415" s="304" t="s">
        <v>321</v>
      </c>
    </row>
    <row r="416" spans="1:35" s="103" customFormat="1">
      <c r="A416" s="83" t="s">
        <v>273</v>
      </c>
      <c r="B416" s="102"/>
      <c r="F416" s="103">
        <f t="shared" ref="F416:O416" ca="1" si="526">SUM(F413:F415)</f>
        <v>0</v>
      </c>
      <c r="G416" s="103">
        <f t="shared" ca="1" si="526"/>
        <v>0</v>
      </c>
      <c r="H416" s="103">
        <f t="shared" ca="1" si="526"/>
        <v>0</v>
      </c>
      <c r="I416" s="103">
        <f t="shared" ca="1" si="526"/>
        <v>0</v>
      </c>
      <c r="J416" s="103">
        <f t="shared" ca="1" si="526"/>
        <v>0</v>
      </c>
      <c r="K416" s="103">
        <f t="shared" ca="1" si="526"/>
        <v>0</v>
      </c>
      <c r="L416" s="103">
        <f t="shared" ca="1" si="526"/>
        <v>0</v>
      </c>
      <c r="M416" s="103">
        <f t="shared" ca="1" si="526"/>
        <v>0</v>
      </c>
      <c r="N416" s="103">
        <f t="shared" ca="1" si="526"/>
        <v>0</v>
      </c>
      <c r="O416" s="103">
        <f t="shared" ca="1" si="526"/>
        <v>0</v>
      </c>
      <c r="P416" s="103">
        <f t="shared" ref="P416:Y416" ca="1" si="527">SUM(P413:P415)</f>
        <v>0</v>
      </c>
      <c r="Q416" s="103">
        <f t="shared" ca="1" si="527"/>
        <v>0</v>
      </c>
      <c r="R416" s="104">
        <f t="shared" ca="1" si="527"/>
        <v>0</v>
      </c>
      <c r="S416" s="103">
        <f t="shared" ca="1" si="527"/>
        <v>0</v>
      </c>
      <c r="T416" s="103">
        <f t="shared" ca="1" si="527"/>
        <v>0</v>
      </c>
      <c r="U416" s="103">
        <f t="shared" ca="1" si="527"/>
        <v>0</v>
      </c>
      <c r="V416" s="103">
        <f t="shared" ca="1" si="527"/>
        <v>0</v>
      </c>
      <c r="W416" s="103">
        <f t="shared" ca="1" si="527"/>
        <v>0</v>
      </c>
      <c r="X416" s="103">
        <f t="shared" ca="1" si="527"/>
        <v>0</v>
      </c>
      <c r="Y416" s="103">
        <f t="shared" ca="1" si="527"/>
        <v>0</v>
      </c>
      <c r="Z416" s="103">
        <f t="shared" ref="Z416:AH416" ca="1" si="528">SUM(Z413:Z415)</f>
        <v>0</v>
      </c>
      <c r="AA416" s="103">
        <f t="shared" ca="1" si="528"/>
        <v>0</v>
      </c>
      <c r="AB416" s="103">
        <f t="shared" ca="1" si="528"/>
        <v>0</v>
      </c>
      <c r="AC416" s="103">
        <f t="shared" ca="1" si="528"/>
        <v>0</v>
      </c>
      <c r="AD416" s="103">
        <f t="shared" ca="1" si="528"/>
        <v>0</v>
      </c>
      <c r="AE416" s="104">
        <f t="shared" ca="1" si="528"/>
        <v>0</v>
      </c>
      <c r="AF416" s="104">
        <f t="shared" ca="1" si="528"/>
        <v>0</v>
      </c>
      <c r="AG416" s="104">
        <f t="shared" si="528"/>
        <v>0</v>
      </c>
      <c r="AH416" s="104">
        <f t="shared" si="528"/>
        <v>0</v>
      </c>
      <c r="AI416" s="304" t="s">
        <v>321</v>
      </c>
    </row>
    <row r="417" spans="1:35" s="99" customFormat="1">
      <c r="A417" s="96"/>
      <c r="B417" s="97"/>
      <c r="R417" s="100"/>
      <c r="AE417" s="100"/>
      <c r="AF417" s="100"/>
      <c r="AG417" s="100"/>
      <c r="AH417" s="100"/>
      <c r="AI417" s="304" t="s">
        <v>321</v>
      </c>
    </row>
    <row r="418" spans="1:35">
      <c r="A418" s="89"/>
      <c r="B418" s="90"/>
      <c r="C418" s="95"/>
      <c r="D418" s="95"/>
      <c r="E418" s="95"/>
      <c r="F418" s="92"/>
      <c r="G418" s="92"/>
      <c r="H418" s="92"/>
      <c r="I418" s="92"/>
      <c r="J418" s="92"/>
      <c r="K418" s="92"/>
      <c r="L418" s="92"/>
      <c r="M418" s="92"/>
      <c r="N418" s="92"/>
      <c r="O418" s="92"/>
      <c r="P418" s="92"/>
      <c r="Q418" s="92"/>
      <c r="R418" s="93"/>
      <c r="S418" s="92"/>
      <c r="T418" s="92"/>
      <c r="U418" s="92"/>
      <c r="V418" s="92"/>
      <c r="W418" s="92"/>
      <c r="X418" s="92"/>
      <c r="Y418" s="92"/>
      <c r="Z418" s="92"/>
      <c r="AA418" s="92"/>
      <c r="AB418" s="92"/>
      <c r="AC418" s="92"/>
      <c r="AD418" s="92"/>
      <c r="AE418" s="93"/>
      <c r="AF418" s="93"/>
      <c r="AG418" s="93"/>
      <c r="AH418" s="93"/>
      <c r="AI418" s="304" t="s">
        <v>321</v>
      </c>
    </row>
    <row r="419" spans="1:35">
      <c r="A419" s="89" t="s">
        <v>274</v>
      </c>
      <c r="B419" s="90"/>
      <c r="C419" s="95"/>
      <c r="D419" s="95"/>
      <c r="E419" s="95"/>
      <c r="F419" s="92"/>
      <c r="G419" s="92"/>
      <c r="H419" s="92"/>
      <c r="I419" s="92"/>
      <c r="J419" s="92"/>
      <c r="K419" s="92"/>
      <c r="L419" s="92"/>
      <c r="M419" s="92"/>
      <c r="N419" s="92"/>
      <c r="O419" s="92"/>
      <c r="P419" s="92"/>
      <c r="Q419" s="92"/>
      <c r="R419" s="93"/>
      <c r="S419" s="92"/>
      <c r="T419" s="92"/>
      <c r="U419" s="92"/>
      <c r="V419" s="92"/>
      <c r="W419" s="92"/>
      <c r="X419" s="92"/>
      <c r="Y419" s="92"/>
      <c r="Z419" s="92"/>
      <c r="AA419" s="92"/>
      <c r="AB419" s="92"/>
      <c r="AC419" s="92"/>
      <c r="AD419" s="92"/>
      <c r="AE419" s="93"/>
      <c r="AF419" s="93"/>
      <c r="AG419" s="93"/>
      <c r="AH419" s="93"/>
      <c r="AI419" s="304" t="s">
        <v>321</v>
      </c>
    </row>
    <row r="420" spans="1:35">
      <c r="A420" s="89"/>
      <c r="B420" s="90"/>
      <c r="C420" s="95"/>
      <c r="D420" s="95"/>
      <c r="E420" s="95"/>
      <c r="F420" s="92"/>
      <c r="G420" s="92"/>
      <c r="H420" s="92"/>
      <c r="I420" s="92"/>
      <c r="J420" s="92"/>
      <c r="K420" s="92"/>
      <c r="L420" s="92"/>
      <c r="M420" s="92"/>
      <c r="N420" s="92"/>
      <c r="O420" s="92"/>
      <c r="P420" s="92"/>
      <c r="Q420" s="92"/>
      <c r="R420" s="93"/>
      <c r="S420" s="92"/>
      <c r="T420" s="92"/>
      <c r="U420" s="92"/>
      <c r="V420" s="92"/>
      <c r="W420" s="92"/>
      <c r="X420" s="92"/>
      <c r="Y420" s="92"/>
      <c r="Z420" s="92"/>
      <c r="AA420" s="92"/>
      <c r="AB420" s="92"/>
      <c r="AC420" s="92"/>
      <c r="AD420" s="92"/>
      <c r="AE420" s="93"/>
      <c r="AF420" s="93"/>
      <c r="AG420" s="93"/>
      <c r="AH420" s="93"/>
      <c r="AI420" s="304" t="s">
        <v>321</v>
      </c>
    </row>
    <row r="421" spans="1:35">
      <c r="A421" s="89" t="s">
        <v>275</v>
      </c>
      <c r="B421" s="90"/>
      <c r="C421" s="95"/>
      <c r="D421" s="95"/>
      <c r="E421" s="95"/>
      <c r="F421" s="92"/>
      <c r="G421" s="92"/>
      <c r="H421" s="92"/>
      <c r="I421" s="92"/>
      <c r="J421" s="92"/>
      <c r="K421" s="92"/>
      <c r="L421" s="92"/>
      <c r="M421" s="92"/>
      <c r="N421" s="92"/>
      <c r="O421" s="92"/>
      <c r="P421" s="92"/>
      <c r="Q421" s="92"/>
      <c r="R421" s="93"/>
      <c r="S421" s="92"/>
      <c r="T421" s="92"/>
      <c r="U421" s="92"/>
      <c r="V421" s="92"/>
      <c r="W421" s="92"/>
      <c r="X421" s="92"/>
      <c r="Y421" s="92"/>
      <c r="Z421" s="92"/>
      <c r="AA421" s="92"/>
      <c r="AB421" s="92"/>
      <c r="AC421" s="92"/>
      <c r="AD421" s="92"/>
      <c r="AE421" s="93"/>
      <c r="AF421" s="93"/>
      <c r="AG421" s="93"/>
      <c r="AH421" s="93"/>
      <c r="AI421" s="304" t="s">
        <v>321</v>
      </c>
    </row>
    <row r="422" spans="1:35">
      <c r="A422" s="89"/>
      <c r="B422" s="90" t="s">
        <v>234</v>
      </c>
      <c r="C422" s="95"/>
      <c r="D422" s="95"/>
      <c r="E422" s="95"/>
      <c r="F422" s="148">
        <v>0</v>
      </c>
      <c r="G422" s="148">
        <v>0</v>
      </c>
      <c r="H422" s="148">
        <v>0</v>
      </c>
      <c r="I422" s="148">
        <v>150000</v>
      </c>
      <c r="J422" s="148">
        <v>0</v>
      </c>
      <c r="K422" s="148">
        <v>0</v>
      </c>
      <c r="L422" s="148">
        <v>0</v>
      </c>
      <c r="M422" s="148">
        <v>0</v>
      </c>
      <c r="N422" s="148">
        <v>0</v>
      </c>
      <c r="O422" s="148">
        <v>0</v>
      </c>
      <c r="P422" s="148">
        <v>0</v>
      </c>
      <c r="Q422" s="148">
        <v>0</v>
      </c>
      <c r="R422" s="302">
        <f>Q422</f>
        <v>0</v>
      </c>
      <c r="S422" s="148">
        <v>800000</v>
      </c>
      <c r="T422" s="148">
        <v>0</v>
      </c>
      <c r="U422" s="148">
        <v>0</v>
      </c>
      <c r="V422" s="148">
        <v>0</v>
      </c>
      <c r="W422" s="148">
        <v>0</v>
      </c>
      <c r="X422" s="148">
        <v>0</v>
      </c>
      <c r="Y422" s="148">
        <v>0</v>
      </c>
      <c r="Z422" s="148">
        <v>0</v>
      </c>
      <c r="AA422" s="148">
        <v>0</v>
      </c>
      <c r="AB422" s="148">
        <v>0</v>
      </c>
      <c r="AC422" s="148">
        <v>0</v>
      </c>
      <c r="AD422" s="148">
        <v>0</v>
      </c>
      <c r="AE422" s="302">
        <f>AD422</f>
        <v>0</v>
      </c>
      <c r="AF422" s="149">
        <v>0</v>
      </c>
      <c r="AG422" s="149">
        <v>0</v>
      </c>
      <c r="AH422" s="149">
        <v>0</v>
      </c>
      <c r="AI422" s="304" t="s">
        <v>321</v>
      </c>
    </row>
    <row r="423" spans="1:35">
      <c r="A423" s="89"/>
      <c r="B423" s="90" t="s">
        <v>235</v>
      </c>
      <c r="C423" s="95"/>
      <c r="D423" s="95"/>
      <c r="E423" s="95"/>
      <c r="F423" s="148">
        <v>0</v>
      </c>
      <c r="G423" s="148">
        <v>0</v>
      </c>
      <c r="H423" s="148">
        <v>0</v>
      </c>
      <c r="I423" s="148">
        <v>0</v>
      </c>
      <c r="J423" s="148">
        <v>0</v>
      </c>
      <c r="K423" s="148">
        <v>0</v>
      </c>
      <c r="L423" s="148">
        <v>0</v>
      </c>
      <c r="M423" s="148">
        <v>0</v>
      </c>
      <c r="N423" s="148">
        <v>0</v>
      </c>
      <c r="O423" s="148">
        <v>0</v>
      </c>
      <c r="P423" s="148">
        <v>0</v>
      </c>
      <c r="Q423" s="148">
        <v>0</v>
      </c>
      <c r="R423" s="302">
        <f>Q423</f>
        <v>0</v>
      </c>
      <c r="S423" s="148">
        <v>0</v>
      </c>
      <c r="T423" s="148">
        <v>0</v>
      </c>
      <c r="U423" s="148">
        <v>0</v>
      </c>
      <c r="V423" s="148">
        <v>0</v>
      </c>
      <c r="W423" s="148">
        <v>0</v>
      </c>
      <c r="X423" s="148">
        <v>0</v>
      </c>
      <c r="Y423" s="148">
        <v>0</v>
      </c>
      <c r="Z423" s="148">
        <v>0</v>
      </c>
      <c r="AA423" s="148">
        <v>0</v>
      </c>
      <c r="AB423" s="148">
        <v>0</v>
      </c>
      <c r="AC423" s="148">
        <v>0</v>
      </c>
      <c r="AD423" s="148">
        <v>0</v>
      </c>
      <c r="AE423" s="302">
        <f>AD423</f>
        <v>0</v>
      </c>
      <c r="AF423" s="149">
        <v>0</v>
      </c>
      <c r="AG423" s="149">
        <v>0</v>
      </c>
      <c r="AH423" s="149">
        <v>0</v>
      </c>
      <c r="AI423" s="304" t="s">
        <v>321</v>
      </c>
    </row>
    <row r="424" spans="1:35" s="103" customFormat="1">
      <c r="A424" s="83" t="s">
        <v>276</v>
      </c>
      <c r="B424" s="102"/>
      <c r="F424" s="103">
        <f t="shared" ref="F424:O424" si="529">SUM(F422:F423)</f>
        <v>0</v>
      </c>
      <c r="G424" s="103">
        <f t="shared" si="529"/>
        <v>0</v>
      </c>
      <c r="H424" s="103">
        <f t="shared" si="529"/>
        <v>0</v>
      </c>
      <c r="I424" s="103">
        <f t="shared" si="529"/>
        <v>150000</v>
      </c>
      <c r="J424" s="103">
        <f t="shared" si="529"/>
        <v>0</v>
      </c>
      <c r="K424" s="103">
        <f t="shared" si="529"/>
        <v>0</v>
      </c>
      <c r="L424" s="103">
        <f t="shared" si="529"/>
        <v>0</v>
      </c>
      <c r="M424" s="103">
        <f t="shared" si="529"/>
        <v>0</v>
      </c>
      <c r="N424" s="103">
        <f t="shared" si="529"/>
        <v>0</v>
      </c>
      <c r="O424" s="103">
        <f t="shared" si="529"/>
        <v>0</v>
      </c>
      <c r="P424" s="103">
        <f t="shared" ref="P424:Y424" si="530">SUM(P422:P423)</f>
        <v>0</v>
      </c>
      <c r="Q424" s="103">
        <f t="shared" si="530"/>
        <v>0</v>
      </c>
      <c r="R424" s="104">
        <f t="shared" si="530"/>
        <v>0</v>
      </c>
      <c r="S424" s="103">
        <f t="shared" si="530"/>
        <v>800000</v>
      </c>
      <c r="T424" s="103">
        <f t="shared" si="530"/>
        <v>0</v>
      </c>
      <c r="U424" s="103">
        <f t="shared" si="530"/>
        <v>0</v>
      </c>
      <c r="V424" s="103">
        <f t="shared" si="530"/>
        <v>0</v>
      </c>
      <c r="W424" s="103">
        <f t="shared" si="530"/>
        <v>0</v>
      </c>
      <c r="X424" s="103">
        <f t="shared" si="530"/>
        <v>0</v>
      </c>
      <c r="Y424" s="103">
        <f t="shared" si="530"/>
        <v>0</v>
      </c>
      <c r="Z424" s="103">
        <f t="shared" ref="Z424:AH424" si="531">SUM(Z422:Z423)</f>
        <v>0</v>
      </c>
      <c r="AA424" s="103">
        <f t="shared" si="531"/>
        <v>0</v>
      </c>
      <c r="AB424" s="103">
        <f t="shared" si="531"/>
        <v>0</v>
      </c>
      <c r="AC424" s="103">
        <f t="shared" si="531"/>
        <v>0</v>
      </c>
      <c r="AD424" s="103">
        <f t="shared" si="531"/>
        <v>0</v>
      </c>
      <c r="AE424" s="104">
        <f t="shared" si="531"/>
        <v>0</v>
      </c>
      <c r="AF424" s="104">
        <f t="shared" si="531"/>
        <v>0</v>
      </c>
      <c r="AG424" s="104">
        <f t="shared" si="531"/>
        <v>0</v>
      </c>
      <c r="AH424" s="104">
        <f t="shared" si="531"/>
        <v>0</v>
      </c>
      <c r="AI424" s="304" t="s">
        <v>321</v>
      </c>
    </row>
    <row r="425" spans="1:35">
      <c r="A425" s="89"/>
      <c r="B425" s="90"/>
      <c r="C425" s="95"/>
      <c r="D425" s="95"/>
      <c r="E425" s="95"/>
      <c r="F425" s="92"/>
      <c r="G425" s="92"/>
      <c r="H425" s="92"/>
      <c r="I425" s="92"/>
      <c r="J425" s="92"/>
      <c r="K425" s="92"/>
      <c r="L425" s="92"/>
      <c r="M425" s="92"/>
      <c r="N425" s="92"/>
      <c r="O425" s="92"/>
      <c r="P425" s="92"/>
      <c r="Q425" s="92"/>
      <c r="R425" s="93"/>
      <c r="S425" s="92"/>
      <c r="T425" s="92"/>
      <c r="U425" s="92"/>
      <c r="V425" s="92"/>
      <c r="W425" s="92"/>
      <c r="X425" s="92"/>
      <c r="Y425" s="92"/>
      <c r="Z425" s="92"/>
      <c r="AA425" s="92"/>
      <c r="AB425" s="92"/>
      <c r="AC425" s="92"/>
      <c r="AD425" s="92"/>
      <c r="AE425" s="93"/>
      <c r="AF425" s="93"/>
      <c r="AG425" s="93"/>
      <c r="AH425" s="93"/>
      <c r="AI425" s="304" t="s">
        <v>321</v>
      </c>
    </row>
    <row r="426" spans="1:35">
      <c r="A426" s="89" t="s">
        <v>277</v>
      </c>
      <c r="B426" s="90"/>
      <c r="C426" s="95"/>
      <c r="D426" s="95"/>
      <c r="E426" s="95"/>
      <c r="F426" s="92"/>
      <c r="G426" s="92"/>
      <c r="H426" s="92"/>
      <c r="I426" s="92"/>
      <c r="J426" s="92"/>
      <c r="K426" s="92"/>
      <c r="L426" s="92"/>
      <c r="M426" s="92"/>
      <c r="N426" s="92"/>
      <c r="O426" s="92"/>
      <c r="P426" s="92"/>
      <c r="Q426" s="92"/>
      <c r="R426" s="93"/>
      <c r="S426" s="92"/>
      <c r="T426" s="92"/>
      <c r="U426" s="92"/>
      <c r="V426" s="92"/>
      <c r="W426" s="92"/>
      <c r="X426" s="92"/>
      <c r="Y426" s="92"/>
      <c r="Z426" s="92"/>
      <c r="AA426" s="92"/>
      <c r="AB426" s="92"/>
      <c r="AC426" s="92"/>
      <c r="AD426" s="92"/>
      <c r="AE426" s="93"/>
      <c r="AF426" s="93"/>
      <c r="AG426" s="93"/>
      <c r="AH426" s="93"/>
      <c r="AI426" s="304" t="s">
        <v>321</v>
      </c>
    </row>
    <row r="427" spans="1:35">
      <c r="A427" s="89"/>
      <c r="B427" s="90" t="s">
        <v>234</v>
      </c>
      <c r="C427" s="95"/>
      <c r="D427" s="95"/>
      <c r="E427" s="95"/>
      <c r="F427" s="148">
        <v>0</v>
      </c>
      <c r="G427" s="148">
        <v>0</v>
      </c>
      <c r="H427" s="148">
        <v>0</v>
      </c>
      <c r="I427" s="148">
        <v>0</v>
      </c>
      <c r="J427" s="148">
        <v>0</v>
      </c>
      <c r="K427" s="148">
        <v>0</v>
      </c>
      <c r="L427" s="148">
        <v>0</v>
      </c>
      <c r="M427" s="148">
        <v>0</v>
      </c>
      <c r="N427" s="148">
        <v>0</v>
      </c>
      <c r="O427" s="148">
        <v>0</v>
      </c>
      <c r="P427" s="148">
        <v>0</v>
      </c>
      <c r="Q427" s="148">
        <v>0</v>
      </c>
      <c r="R427" s="302">
        <f>Q427</f>
        <v>0</v>
      </c>
      <c r="S427" s="148">
        <v>0</v>
      </c>
      <c r="T427" s="148">
        <v>0</v>
      </c>
      <c r="U427" s="148">
        <v>0</v>
      </c>
      <c r="V427" s="148">
        <v>0</v>
      </c>
      <c r="W427" s="148">
        <v>0</v>
      </c>
      <c r="X427" s="148">
        <v>0</v>
      </c>
      <c r="Y427" s="148">
        <v>0</v>
      </c>
      <c r="Z427" s="148">
        <v>0</v>
      </c>
      <c r="AA427" s="148">
        <v>0</v>
      </c>
      <c r="AB427" s="148">
        <v>0</v>
      </c>
      <c r="AC427" s="148">
        <v>0</v>
      </c>
      <c r="AD427" s="148">
        <v>0</v>
      </c>
      <c r="AE427" s="302">
        <f>AD427</f>
        <v>0</v>
      </c>
      <c r="AF427" s="149">
        <v>0</v>
      </c>
      <c r="AG427" s="149">
        <v>0</v>
      </c>
      <c r="AH427" s="149">
        <v>0</v>
      </c>
      <c r="AI427" s="304" t="s">
        <v>321</v>
      </c>
    </row>
    <row r="428" spans="1:35">
      <c r="A428" s="89"/>
      <c r="B428" s="90" t="s">
        <v>235</v>
      </c>
      <c r="C428" s="95"/>
      <c r="D428" s="95"/>
      <c r="E428" s="95"/>
      <c r="F428" s="148">
        <v>0</v>
      </c>
      <c r="G428" s="148">
        <v>0</v>
      </c>
      <c r="H428" s="148">
        <v>0</v>
      </c>
      <c r="I428" s="148">
        <v>0</v>
      </c>
      <c r="J428" s="148">
        <v>0</v>
      </c>
      <c r="K428" s="148">
        <v>0</v>
      </c>
      <c r="L428" s="148">
        <v>0</v>
      </c>
      <c r="M428" s="148">
        <v>0</v>
      </c>
      <c r="N428" s="148">
        <v>0</v>
      </c>
      <c r="O428" s="148">
        <v>0</v>
      </c>
      <c r="P428" s="148">
        <v>0</v>
      </c>
      <c r="Q428" s="148">
        <v>0</v>
      </c>
      <c r="R428" s="302">
        <f>Q428</f>
        <v>0</v>
      </c>
      <c r="S428" s="148">
        <v>0</v>
      </c>
      <c r="T428" s="148">
        <v>0</v>
      </c>
      <c r="U428" s="148">
        <v>0</v>
      </c>
      <c r="V428" s="148">
        <v>0</v>
      </c>
      <c r="W428" s="148">
        <v>0</v>
      </c>
      <c r="X428" s="148">
        <v>0</v>
      </c>
      <c r="Y428" s="148">
        <v>0</v>
      </c>
      <c r="Z428" s="148">
        <v>0</v>
      </c>
      <c r="AA428" s="148">
        <v>0</v>
      </c>
      <c r="AB428" s="148">
        <v>0</v>
      </c>
      <c r="AC428" s="148">
        <v>0</v>
      </c>
      <c r="AD428" s="148">
        <v>0</v>
      </c>
      <c r="AE428" s="302">
        <f>AD428</f>
        <v>0</v>
      </c>
      <c r="AF428" s="149">
        <v>0</v>
      </c>
      <c r="AG428" s="149">
        <v>0</v>
      </c>
      <c r="AH428" s="149">
        <v>0</v>
      </c>
      <c r="AI428" s="304" t="s">
        <v>321</v>
      </c>
    </row>
    <row r="429" spans="1:35" s="103" customFormat="1">
      <c r="A429" s="83" t="s">
        <v>278</v>
      </c>
      <c r="B429" s="102"/>
      <c r="F429" s="103">
        <f t="shared" ref="F429:O429" si="532">SUM(F427:F428)</f>
        <v>0</v>
      </c>
      <c r="G429" s="103">
        <f t="shared" si="532"/>
        <v>0</v>
      </c>
      <c r="H429" s="103">
        <f t="shared" si="532"/>
        <v>0</v>
      </c>
      <c r="I429" s="103">
        <f t="shared" si="532"/>
        <v>0</v>
      </c>
      <c r="J429" s="103">
        <f t="shared" si="532"/>
        <v>0</v>
      </c>
      <c r="K429" s="103">
        <f t="shared" si="532"/>
        <v>0</v>
      </c>
      <c r="L429" s="103">
        <f t="shared" si="532"/>
        <v>0</v>
      </c>
      <c r="M429" s="103">
        <f t="shared" si="532"/>
        <v>0</v>
      </c>
      <c r="N429" s="103">
        <f t="shared" si="532"/>
        <v>0</v>
      </c>
      <c r="O429" s="103">
        <f t="shared" si="532"/>
        <v>0</v>
      </c>
      <c r="P429" s="103">
        <f t="shared" ref="P429:Y429" si="533">SUM(P427:P428)</f>
        <v>0</v>
      </c>
      <c r="Q429" s="103">
        <f t="shared" si="533"/>
        <v>0</v>
      </c>
      <c r="R429" s="104">
        <f t="shared" si="533"/>
        <v>0</v>
      </c>
      <c r="S429" s="103">
        <f t="shared" si="533"/>
        <v>0</v>
      </c>
      <c r="T429" s="103">
        <f t="shared" si="533"/>
        <v>0</v>
      </c>
      <c r="U429" s="103">
        <f t="shared" si="533"/>
        <v>0</v>
      </c>
      <c r="V429" s="103">
        <f t="shared" si="533"/>
        <v>0</v>
      </c>
      <c r="W429" s="103">
        <f t="shared" si="533"/>
        <v>0</v>
      </c>
      <c r="X429" s="103">
        <f t="shared" si="533"/>
        <v>0</v>
      </c>
      <c r="Y429" s="103">
        <f t="shared" si="533"/>
        <v>0</v>
      </c>
      <c r="Z429" s="103">
        <f t="shared" ref="Z429:AH429" si="534">SUM(Z427:Z428)</f>
        <v>0</v>
      </c>
      <c r="AA429" s="103">
        <f t="shared" si="534"/>
        <v>0</v>
      </c>
      <c r="AB429" s="103">
        <f t="shared" si="534"/>
        <v>0</v>
      </c>
      <c r="AC429" s="103">
        <f t="shared" si="534"/>
        <v>0</v>
      </c>
      <c r="AD429" s="103">
        <f t="shared" si="534"/>
        <v>0</v>
      </c>
      <c r="AE429" s="104">
        <f t="shared" si="534"/>
        <v>0</v>
      </c>
      <c r="AF429" s="104">
        <f t="shared" si="534"/>
        <v>0</v>
      </c>
      <c r="AG429" s="104">
        <f t="shared" si="534"/>
        <v>0</v>
      </c>
      <c r="AH429" s="104">
        <f t="shared" si="534"/>
        <v>0</v>
      </c>
      <c r="AI429" s="304" t="s">
        <v>321</v>
      </c>
    </row>
    <row r="430" spans="1:35">
      <c r="A430" s="89"/>
      <c r="B430" s="90"/>
      <c r="C430" s="95"/>
      <c r="D430" s="95"/>
      <c r="E430" s="95"/>
      <c r="F430" s="92"/>
      <c r="G430" s="92"/>
      <c r="H430" s="92"/>
      <c r="I430" s="92"/>
      <c r="J430" s="92"/>
      <c r="K430" s="92"/>
      <c r="L430" s="92"/>
      <c r="M430" s="92"/>
      <c r="N430" s="92"/>
      <c r="O430" s="92"/>
      <c r="P430" s="92"/>
      <c r="Q430" s="92"/>
      <c r="R430" s="93"/>
      <c r="S430" s="92"/>
      <c r="T430" s="92"/>
      <c r="U430" s="92"/>
      <c r="V430" s="92"/>
      <c r="W430" s="92"/>
      <c r="X430" s="92"/>
      <c r="Y430" s="92"/>
      <c r="Z430" s="92"/>
      <c r="AA430" s="92"/>
      <c r="AB430" s="92"/>
      <c r="AC430" s="92"/>
      <c r="AD430" s="92"/>
      <c r="AE430" s="93"/>
      <c r="AF430" s="93"/>
      <c r="AG430" s="93"/>
      <c r="AH430" s="93"/>
      <c r="AI430" s="304" t="s">
        <v>321</v>
      </c>
    </row>
    <row r="431" spans="1:35">
      <c r="A431" s="96"/>
      <c r="B431" s="97"/>
      <c r="C431" s="98"/>
      <c r="D431" s="98"/>
      <c r="E431" s="98"/>
      <c r="F431" s="99"/>
      <c r="G431" s="99"/>
      <c r="H431" s="99"/>
      <c r="I431" s="99"/>
      <c r="J431" s="99"/>
      <c r="K431" s="99"/>
      <c r="L431" s="99"/>
      <c r="M431" s="99"/>
      <c r="N431" s="99"/>
      <c r="O431" s="99"/>
      <c r="P431" s="99"/>
      <c r="Q431" s="99"/>
      <c r="R431" s="100"/>
      <c r="S431" s="99"/>
      <c r="T431" s="99"/>
      <c r="U431" s="99"/>
      <c r="V431" s="99"/>
      <c r="W431" s="99"/>
      <c r="X431" s="99"/>
      <c r="Y431" s="99"/>
      <c r="Z431" s="99"/>
      <c r="AA431" s="99"/>
      <c r="AB431" s="99"/>
      <c r="AC431" s="99"/>
      <c r="AD431" s="99"/>
      <c r="AE431" s="100"/>
      <c r="AF431" s="100"/>
      <c r="AG431" s="100"/>
      <c r="AH431" s="100"/>
      <c r="AI431" s="304" t="s">
        <v>321</v>
      </c>
    </row>
    <row r="432" spans="1:35">
      <c r="A432" s="96"/>
      <c r="B432" s="97"/>
      <c r="C432" s="98"/>
      <c r="D432" s="98"/>
      <c r="E432" s="98"/>
      <c r="F432" s="99"/>
      <c r="G432" s="99"/>
      <c r="H432" s="99"/>
      <c r="I432" s="99"/>
      <c r="J432" s="99"/>
      <c r="K432" s="99"/>
      <c r="L432" s="99"/>
      <c r="M432" s="99"/>
      <c r="N432" s="99"/>
      <c r="O432" s="99"/>
      <c r="P432" s="99"/>
      <c r="Q432" s="99"/>
      <c r="R432" s="100"/>
      <c r="S432" s="99"/>
      <c r="T432" s="99"/>
      <c r="U432" s="99"/>
      <c r="V432" s="99"/>
      <c r="W432" s="99"/>
      <c r="X432" s="99"/>
      <c r="Y432" s="99"/>
      <c r="Z432" s="99"/>
      <c r="AA432" s="99"/>
      <c r="AB432" s="99"/>
      <c r="AC432" s="99"/>
      <c r="AD432" s="99"/>
      <c r="AE432" s="100"/>
      <c r="AF432" s="100"/>
      <c r="AG432" s="100"/>
      <c r="AH432" s="100"/>
      <c r="AI432" s="304" t="s">
        <v>321</v>
      </c>
    </row>
    <row r="433" spans="1:35">
      <c r="A433" s="96"/>
      <c r="B433" s="97"/>
      <c r="C433" s="98"/>
      <c r="D433" s="98"/>
      <c r="E433" s="98"/>
      <c r="F433" s="99"/>
      <c r="G433" s="99"/>
      <c r="H433" s="99"/>
      <c r="I433" s="99"/>
      <c r="J433" s="99"/>
      <c r="K433" s="99"/>
      <c r="L433" s="99"/>
      <c r="M433" s="99"/>
      <c r="N433" s="99"/>
      <c r="O433" s="99"/>
      <c r="P433" s="99"/>
      <c r="Q433" s="99"/>
      <c r="R433" s="100"/>
      <c r="S433" s="99"/>
      <c r="T433" s="99"/>
      <c r="U433" s="99"/>
      <c r="V433" s="99"/>
      <c r="W433" s="99"/>
      <c r="X433" s="99"/>
      <c r="Y433" s="99"/>
      <c r="Z433" s="99"/>
      <c r="AA433" s="99"/>
      <c r="AB433" s="99"/>
      <c r="AC433" s="99"/>
      <c r="AD433" s="99"/>
      <c r="AE433" s="100"/>
      <c r="AF433" s="100"/>
      <c r="AG433" s="100"/>
      <c r="AH433" s="100"/>
      <c r="AI433" s="304" t="s">
        <v>321</v>
      </c>
    </row>
    <row r="434" spans="1:35">
      <c r="AI434" s="304" t="s">
        <v>321</v>
      </c>
    </row>
    <row r="435" spans="1:35" ht="7.5">
      <c r="A435" s="304" t="s">
        <v>321</v>
      </c>
      <c r="B435" s="304" t="s">
        <v>321</v>
      </c>
      <c r="C435" s="304" t="s">
        <v>321</v>
      </c>
      <c r="D435" s="304" t="s">
        <v>321</v>
      </c>
      <c r="E435" s="304" t="s">
        <v>321</v>
      </c>
      <c r="F435" s="304" t="s">
        <v>321</v>
      </c>
      <c r="G435" s="304" t="s">
        <v>321</v>
      </c>
      <c r="H435" s="304" t="s">
        <v>321</v>
      </c>
      <c r="I435" s="304" t="s">
        <v>321</v>
      </c>
      <c r="J435" s="304" t="s">
        <v>321</v>
      </c>
      <c r="K435" s="304" t="s">
        <v>321</v>
      </c>
      <c r="L435" s="304" t="s">
        <v>321</v>
      </c>
      <c r="M435" s="304" t="s">
        <v>321</v>
      </c>
      <c r="N435" s="304" t="s">
        <v>321</v>
      </c>
      <c r="O435" s="304" t="s">
        <v>321</v>
      </c>
      <c r="P435" s="304" t="s">
        <v>321</v>
      </c>
      <c r="Q435" s="304" t="s">
        <v>321</v>
      </c>
      <c r="R435" s="304" t="s">
        <v>321</v>
      </c>
      <c r="S435" s="304" t="s">
        <v>321</v>
      </c>
      <c r="T435" s="304" t="s">
        <v>321</v>
      </c>
      <c r="U435" s="304" t="s">
        <v>321</v>
      </c>
      <c r="V435" s="304" t="s">
        <v>321</v>
      </c>
      <c r="W435" s="304" t="s">
        <v>321</v>
      </c>
      <c r="X435" s="304" t="s">
        <v>321</v>
      </c>
      <c r="Y435" s="304" t="s">
        <v>321</v>
      </c>
      <c r="Z435" s="304" t="s">
        <v>321</v>
      </c>
      <c r="AA435" s="304" t="s">
        <v>321</v>
      </c>
      <c r="AB435" s="304" t="s">
        <v>321</v>
      </c>
      <c r="AC435" s="304" t="s">
        <v>321</v>
      </c>
      <c r="AD435" s="304" t="s">
        <v>321</v>
      </c>
      <c r="AE435" s="304" t="s">
        <v>321</v>
      </c>
      <c r="AF435" s="304" t="s">
        <v>321</v>
      </c>
      <c r="AG435" s="304" t="s">
        <v>321</v>
      </c>
      <c r="AH435" s="304" t="s">
        <v>321</v>
      </c>
      <c r="AI435" s="304" t="s">
        <v>321</v>
      </c>
    </row>
  </sheetData>
  <phoneticPr fontId="3" type="noConversion"/>
  <conditionalFormatting sqref="F2">
    <cfRule type="cellIs" dxfId="1" priority="2" operator="equal">
      <formula>"!!!!"</formula>
    </cfRule>
  </conditionalFormatting>
  <conditionalFormatting sqref="B2">
    <cfRule type="cellIs" dxfId="0" priority="1" operator="equal">
      <formula>"!!!!"</formula>
    </cfRule>
  </conditionalFormatting>
  <printOptions horizontalCentered="1"/>
  <pageMargins left="0" right="0" top="1" bottom="0" header="0.5" footer="0.5"/>
  <pageSetup firstPageNumber="9" pageOrder="overThenDown" orientation="landscape" useFirstPageNumber="1" horizontalDpi="4294967292" verticalDpi="4294967292" r:id="rId1"/>
  <headerFooter alignWithMargins="0">
    <oddFooter>&amp;R&amp;"MS Serif,Bold"&amp;8Page &amp;P</oddFooter>
  </headerFooter>
  <rowBreaks count="12" manualBreakCount="12">
    <brk id="4" max="65535" man="1"/>
    <brk id="44" max="65535" man="1"/>
    <brk id="79" max="65535" man="1"/>
    <brk id="116" max="65535" man="1"/>
    <brk id="165" max="65535" man="1"/>
    <brk id="221" max="65535" man="1"/>
    <brk id="247" max="65535" man="1"/>
    <brk id="282" max="65535" man="1"/>
    <brk id="319" max="65535" man="1"/>
    <brk id="348" max="65535" man="1"/>
    <brk id="373" max="65535" man="1"/>
    <brk id="390" max="65535" man="1"/>
  </rowBreaks>
  <colBreaks count="2" manualBreakCount="2">
    <brk id="18" max="1048575" man="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I435"/>
  <sheetViews>
    <sheetView showGridLines="0" topLeftCell="B1" zoomScale="115" zoomScaleNormal="115" workbookViewId="0">
      <pane ySplit="5" topLeftCell="A22" activePane="bottomLeft" state="frozen"/>
      <selection activeCell="A179" sqref="A179"/>
      <selection pane="bottomLeft" activeCell="H5" sqref="H5"/>
    </sheetView>
  </sheetViews>
  <sheetFormatPr defaultColWidth="9.5546875" defaultRowHeight="15.4" outlineLevelRow="2"/>
  <cols>
    <col min="1" max="1" width="5.5546875" style="22" customWidth="1"/>
    <col min="2" max="2" width="51" style="23" customWidth="1"/>
    <col min="3" max="3" width="21" style="25" customWidth="1"/>
    <col min="4" max="4" width="23" style="25" customWidth="1"/>
    <col min="5" max="7" width="23" style="25" bestFit="1" customWidth="1"/>
    <col min="8" max="13" width="9.5546875" style="25"/>
    <col min="14" max="14" width="13.21875" style="25" bestFit="1" customWidth="1"/>
    <col min="15" max="16384" width="9.5546875" style="25"/>
  </cols>
  <sheetData>
    <row r="1" spans="1:35" s="297" customFormat="1" ht="15.75" customHeight="1">
      <c r="A1" s="294" t="s">
        <v>279</v>
      </c>
      <c r="B1" s="295"/>
      <c r="C1" s="296">
        <f>Details!R1</f>
        <v>43807</v>
      </c>
      <c r="D1" s="296">
        <f>Details!AE1</f>
        <v>44179</v>
      </c>
      <c r="E1" s="296">
        <f>Details!AF1</f>
        <v>44544</v>
      </c>
      <c r="F1" s="296">
        <f>Details!AG1</f>
        <v>44909</v>
      </c>
      <c r="G1" s="296">
        <f>Details!AH1</f>
        <v>45274</v>
      </c>
    </row>
    <row r="2" spans="1:35" s="297" customFormat="1" ht="15.75" customHeight="1" outlineLevel="2">
      <c r="A2" s="294"/>
      <c r="B2" s="298"/>
      <c r="C2" s="296"/>
      <c r="D2" s="296"/>
      <c r="E2" s="296"/>
      <c r="F2" s="296"/>
      <c r="G2" s="296"/>
    </row>
    <row r="3" spans="1:35" outlineLevel="1">
      <c r="B3" s="23" t="s">
        <v>111</v>
      </c>
      <c r="C3" s="397">
        <f ca="1">+C51-C76</f>
        <v>0</v>
      </c>
      <c r="D3" s="397">
        <f ca="1">+D51-D76</f>
        <v>0</v>
      </c>
      <c r="E3" s="397">
        <f ca="1">+E51-E76</f>
        <v>0</v>
      </c>
      <c r="F3" s="397">
        <f ca="1">+F51-F76</f>
        <v>0</v>
      </c>
      <c r="G3" s="397">
        <f ca="1">+G51-G76</f>
        <v>0</v>
      </c>
      <c r="AI3" s="297"/>
    </row>
    <row r="4" spans="1:35" outlineLevel="1">
      <c r="B4" s="23" t="s">
        <v>280</v>
      </c>
      <c r="C4" s="397">
        <f ca="1">+C33-C85</f>
        <v>0</v>
      </c>
      <c r="D4" s="397">
        <f ca="1">+D33-D85</f>
        <v>5.2386894822120667E-10</v>
      </c>
      <c r="E4" s="397">
        <f ca="1">+E33-E85</f>
        <v>0</v>
      </c>
      <c r="F4" s="397">
        <f ca="1">+F33-F85</f>
        <v>0</v>
      </c>
      <c r="G4" s="397">
        <f ca="1">+G33-G85</f>
        <v>0</v>
      </c>
      <c r="AI4" s="297"/>
    </row>
    <row r="5" spans="1:35" ht="15.75" outlineLevel="1" thickBot="1">
      <c r="B5" s="23" t="s">
        <v>281</v>
      </c>
      <c r="C5" s="397">
        <f ca="1">+C109-C43</f>
        <v>0</v>
      </c>
      <c r="D5" s="397">
        <f ca="1">+D109-D43</f>
        <v>0</v>
      </c>
      <c r="E5" s="397">
        <f ca="1">+E109-E43</f>
        <v>0</v>
      </c>
      <c r="F5" s="397">
        <f ca="1">+F109-F43</f>
        <v>0</v>
      </c>
      <c r="G5" s="397">
        <f ca="1">+G109-G43</f>
        <v>0</v>
      </c>
      <c r="AI5" s="297"/>
    </row>
    <row r="6" spans="1:35" s="29" customFormat="1" ht="26.25" customHeight="1" thickTop="1">
      <c r="A6" s="26" t="str">
        <f>Details!$A$1</f>
        <v>PEP STRAW</v>
      </c>
      <c r="B6" s="27"/>
      <c r="C6" s="27"/>
      <c r="D6" s="27"/>
      <c r="E6" s="27"/>
      <c r="F6" s="27"/>
      <c r="G6" s="28"/>
      <c r="AI6" s="297"/>
    </row>
    <row r="7" spans="1:35" s="32" customFormat="1" ht="13.5" customHeight="1" thickBot="1">
      <c r="A7" s="30" t="s">
        <v>282</v>
      </c>
      <c r="B7" s="31"/>
      <c r="C7" s="31"/>
      <c r="D7" s="31"/>
      <c r="E7" s="31"/>
      <c r="F7" s="31"/>
      <c r="G7" s="30"/>
      <c r="AI7" s="297"/>
    </row>
    <row r="8" spans="1:35" ht="15.75" thickTop="1">
      <c r="A8" s="33"/>
      <c r="B8" s="34"/>
      <c r="C8" s="35"/>
      <c r="D8" s="35"/>
      <c r="E8" s="35"/>
      <c r="F8" s="35"/>
      <c r="G8" s="22"/>
      <c r="AI8" s="297"/>
    </row>
    <row r="9" spans="1:35" s="37" customFormat="1" ht="15">
      <c r="A9" s="36"/>
      <c r="B9" s="36"/>
      <c r="C9" s="24">
        <f>C$1</f>
        <v>43807</v>
      </c>
      <c r="D9" s="24">
        <f>D$1</f>
        <v>44179</v>
      </c>
      <c r="E9" s="24">
        <f>E$1</f>
        <v>44544</v>
      </c>
      <c r="F9" s="24">
        <f>F$1</f>
        <v>44909</v>
      </c>
      <c r="G9" s="24">
        <f>G$1</f>
        <v>45274</v>
      </c>
      <c r="AI9" s="297"/>
    </row>
    <row r="10" spans="1:35">
      <c r="B10" s="34"/>
      <c r="C10" s="23"/>
      <c r="D10" s="22"/>
      <c r="E10" s="23"/>
      <c r="F10" s="23"/>
      <c r="G10" s="23"/>
      <c r="AI10" s="297"/>
    </row>
    <row r="11" spans="1:35">
      <c r="A11" s="22" t="s">
        <v>189</v>
      </c>
      <c r="B11" s="34"/>
      <c r="C11" s="23"/>
      <c r="D11" s="22"/>
      <c r="E11" s="23"/>
      <c r="F11" s="23"/>
      <c r="G11" s="23"/>
      <c r="AI11" s="297"/>
    </row>
    <row r="12" spans="1:35">
      <c r="B12" s="34" t="str">
        <f>+Details!B87</f>
        <v>PEP Straw 1</v>
      </c>
      <c r="C12" s="25">
        <f>+Details!R87</f>
        <v>370125</v>
      </c>
      <c r="D12" s="25">
        <f>+Details!AE87</f>
        <v>4327968.7500000009</v>
      </c>
      <c r="E12" s="25">
        <f>+Details!AF87</f>
        <v>9801677.5500000007</v>
      </c>
      <c r="F12" s="25">
        <f>+Details!AG87</f>
        <v>11795793.450000001</v>
      </c>
      <c r="G12" s="25">
        <f>+Details!AH87</f>
        <v>14007459.9</v>
      </c>
      <c r="AI12" s="297"/>
    </row>
    <row r="13" spans="1:35">
      <c r="B13" s="34" t="str">
        <f>+Details!B88</f>
        <v>PEP Straw 2</v>
      </c>
      <c r="C13" s="25">
        <f>+Details!R88</f>
        <v>0</v>
      </c>
      <c r="D13" s="25">
        <f>+Details!AE88</f>
        <v>0</v>
      </c>
      <c r="E13" s="25">
        <f>+Details!AF88</f>
        <v>785881.95000000007</v>
      </c>
      <c r="F13" s="25">
        <f>+Details!AG88</f>
        <v>2149017.15</v>
      </c>
      <c r="G13" s="25">
        <f>+Details!AH88</f>
        <v>3612164.85</v>
      </c>
      <c r="AI13" s="297"/>
    </row>
    <row r="14" spans="1:35">
      <c r="B14" s="34" t="str">
        <f>+Details!B89</f>
        <v>PEP Straw 3</v>
      </c>
      <c r="C14" s="25">
        <f>+Details!R89</f>
        <v>0</v>
      </c>
      <c r="D14" s="25">
        <f>+Details!AE89</f>
        <v>0</v>
      </c>
      <c r="E14" s="25">
        <f>+Details!AF89</f>
        <v>0</v>
      </c>
      <c r="F14" s="25">
        <f>+Details!AG89</f>
        <v>1408739.85</v>
      </c>
      <c r="G14" s="25">
        <f>+Details!AH89</f>
        <v>2770353.6</v>
      </c>
      <c r="AI14" s="297"/>
    </row>
    <row r="15" spans="1:35">
      <c r="B15" s="34" t="str">
        <f>+Details!B90</f>
        <v>PRODUCT 4</v>
      </c>
      <c r="C15" s="25">
        <f>+Details!R90</f>
        <v>0</v>
      </c>
      <c r="D15" s="25">
        <f>+Details!AE90</f>
        <v>0</v>
      </c>
      <c r="E15" s="25">
        <f>+Details!AF90</f>
        <v>0</v>
      </c>
      <c r="F15" s="25">
        <f>+Details!AG90</f>
        <v>0</v>
      </c>
      <c r="G15" s="25">
        <f>+Details!AH90</f>
        <v>0</v>
      </c>
      <c r="AI15" s="297"/>
    </row>
    <row r="16" spans="1:35">
      <c r="B16" s="34" t="str">
        <f>+Details!B91</f>
        <v>PRODUCT 5</v>
      </c>
      <c r="C16" s="25">
        <f>+Details!R91</f>
        <v>0</v>
      </c>
      <c r="D16" s="25">
        <f>+Details!AE91</f>
        <v>0</v>
      </c>
      <c r="E16" s="25">
        <f>+Details!AF91</f>
        <v>0</v>
      </c>
      <c r="F16" s="25">
        <f>+Details!AG91</f>
        <v>0</v>
      </c>
      <c r="G16" s="25">
        <f>+Details!AH91</f>
        <v>0</v>
      </c>
      <c r="AI16" s="297"/>
    </row>
    <row r="17" spans="1:35" s="38" customFormat="1">
      <c r="A17" s="22" t="s">
        <v>190</v>
      </c>
      <c r="B17" s="34"/>
      <c r="C17" s="38">
        <f>SUM(C12:C16)</f>
        <v>370125</v>
      </c>
      <c r="D17" s="38">
        <f>SUM(D12:D16)</f>
        <v>4327968.7500000009</v>
      </c>
      <c r="E17" s="38">
        <f>SUM(E12:E16)</f>
        <v>10587559.5</v>
      </c>
      <c r="F17" s="38">
        <f>SUM(F12:F16)</f>
        <v>15353550.450000001</v>
      </c>
      <c r="G17" s="38">
        <f>SUM(G12:G16)</f>
        <v>20389978.350000001</v>
      </c>
      <c r="AI17" s="297"/>
    </row>
    <row r="18" spans="1:35">
      <c r="B18" s="34"/>
      <c r="AI18" s="297"/>
    </row>
    <row r="19" spans="1:35">
      <c r="A19" s="22" t="s">
        <v>191</v>
      </c>
      <c r="B19" s="34"/>
      <c r="C19" s="23"/>
      <c r="D19" s="23"/>
      <c r="E19" s="23"/>
      <c r="F19" s="23"/>
      <c r="G19" s="23"/>
      <c r="AI19" s="297"/>
    </row>
    <row r="20" spans="1:35">
      <c r="B20" s="34" t="str">
        <f>Assumptions!I15</f>
        <v>Engineering</v>
      </c>
      <c r="C20" s="23">
        <f>+Details!R105</f>
        <v>24563.194444444445</v>
      </c>
      <c r="D20" s="23">
        <f ca="1">+Details!AE105</f>
        <v>587216.66666666674</v>
      </c>
      <c r="E20" s="23">
        <f>+Details!AF105</f>
        <v>928273.33333333349</v>
      </c>
      <c r="F20" s="23">
        <f>+Details!AG105</f>
        <v>1490892.5333333334</v>
      </c>
      <c r="G20" s="23">
        <f>+Details!AH105</f>
        <v>2072257.5680000004</v>
      </c>
      <c r="AI20" s="297"/>
    </row>
    <row r="21" spans="1:35">
      <c r="B21" s="34" t="str">
        <f>Assumptions!I16</f>
        <v>Sales &amp; Marketing</v>
      </c>
      <c r="C21" s="23">
        <f>+Details!R117+Details!R128</f>
        <v>241127.08333333331</v>
      </c>
      <c r="D21" s="23">
        <f ca="1">+Details!AE117+Details!AE128</f>
        <v>1472975.5</v>
      </c>
      <c r="E21" s="23">
        <f>+Details!AF117+Details!AF128</f>
        <v>3407710</v>
      </c>
      <c r="F21" s="23">
        <f>+Details!AG117+Details!AG128</f>
        <v>4303217.5999999996</v>
      </c>
      <c r="G21" s="23">
        <f>+Details!AH117+Details!AH128</f>
        <v>6202169.2240000004</v>
      </c>
      <c r="AI21" s="297"/>
    </row>
    <row r="22" spans="1:35">
      <c r="B22" s="34" t="str">
        <f>Assumptions!I17</f>
        <v>Administration</v>
      </c>
      <c r="C22" s="23">
        <f>+Details!R146</f>
        <v>378836.19888888893</v>
      </c>
      <c r="D22" s="23">
        <f ca="1">+Details!AE146</f>
        <v>2298220.833333333</v>
      </c>
      <c r="E22" s="23">
        <f>+Details!AF146</f>
        <v>4410138.9083333332</v>
      </c>
      <c r="F22" s="23">
        <f>+Details!AG146</f>
        <v>6212790.2490000008</v>
      </c>
      <c r="G22" s="23">
        <f>+Details!AH146</f>
        <v>8044735.2773333332</v>
      </c>
      <c r="AI22" s="297"/>
    </row>
    <row r="23" spans="1:35" s="38" customFormat="1">
      <c r="A23" s="22" t="s">
        <v>283</v>
      </c>
      <c r="B23" s="34"/>
      <c r="C23" s="38">
        <f>+C20+C21+C22</f>
        <v>644526.47666666668</v>
      </c>
      <c r="D23" s="38">
        <f ca="1">+D20+D21+D22</f>
        <v>4358413</v>
      </c>
      <c r="E23" s="38">
        <f>+E20+E21+E22</f>
        <v>8746122.2416666672</v>
      </c>
      <c r="F23" s="38">
        <f>+F20+F21+F22</f>
        <v>12006900.382333335</v>
      </c>
      <c r="G23" s="38">
        <f>+G20+G21+G22</f>
        <v>16319162.069333334</v>
      </c>
      <c r="AI23" s="297"/>
    </row>
    <row r="24" spans="1:35">
      <c r="B24" s="34"/>
      <c r="C24" s="23"/>
      <c r="D24" s="23"/>
      <c r="E24" s="23"/>
      <c r="F24" s="23"/>
      <c r="G24" s="23"/>
      <c r="AI24" s="297"/>
    </row>
    <row r="25" spans="1:35" s="38" customFormat="1">
      <c r="A25" s="22" t="s">
        <v>206</v>
      </c>
      <c r="B25" s="34"/>
      <c r="C25" s="38">
        <f>+C17-C23</f>
        <v>-274401.47666666668</v>
      </c>
      <c r="D25" s="38">
        <f ca="1">+D17-D23</f>
        <v>-30444.249999999069</v>
      </c>
      <c r="E25" s="38">
        <f>+E17-E23</f>
        <v>1841437.2583333328</v>
      </c>
      <c r="F25" s="38">
        <f>+F17-F23</f>
        <v>3346650.0676666666</v>
      </c>
      <c r="G25" s="38">
        <f>+G17-G23</f>
        <v>4070816.280666668</v>
      </c>
      <c r="AI25" s="297"/>
    </row>
    <row r="26" spans="1:35">
      <c r="B26" s="34"/>
      <c r="C26" s="47">
        <f>C25/C17</f>
        <v>-0.74137514803557358</v>
      </c>
      <c r="D26" s="47">
        <f ca="1">D25/D17</f>
        <v>-7.0343044875264089E-3</v>
      </c>
      <c r="E26" s="47">
        <f>E25/E17</f>
        <v>0.17392461958143732</v>
      </c>
      <c r="F26" s="47">
        <f>F25/F17</f>
        <v>0.21797238876866207</v>
      </c>
      <c r="G26" s="47">
        <f>G25/G17</f>
        <v>0.19964789617673467</v>
      </c>
      <c r="AI26" s="297"/>
    </row>
    <row r="27" spans="1:35">
      <c r="B27" s="23" t="s">
        <v>164</v>
      </c>
      <c r="C27" s="23">
        <f ca="1">SUM(Details!R158:R160)</f>
        <v>0</v>
      </c>
      <c r="D27" s="23">
        <f ca="1">SUM(Details!AE158:AE160)</f>
        <v>0</v>
      </c>
      <c r="E27" s="23">
        <f ca="1">SUM(Details!AF158:AF160)</f>
        <v>0</v>
      </c>
      <c r="F27" s="23">
        <f ca="1">SUM(Details!AG158:AG160)</f>
        <v>0</v>
      </c>
      <c r="G27" s="23">
        <f ca="1">SUM(Details!AH158:AH160)</f>
        <v>0</v>
      </c>
      <c r="AI27" s="297"/>
    </row>
    <row r="28" spans="1:35">
      <c r="B28" s="23" t="s">
        <v>297</v>
      </c>
      <c r="C28" s="23">
        <f>Details!R156+Details!R157</f>
        <v>0</v>
      </c>
      <c r="D28" s="23">
        <f>Details!AE156+Details!AE157</f>
        <v>0</v>
      </c>
      <c r="E28" s="23">
        <f>Details!AF156+Details!AF157</f>
        <v>0</v>
      </c>
      <c r="F28" s="23">
        <f>Details!AG156+Details!AG157</f>
        <v>0</v>
      </c>
      <c r="G28" s="23">
        <f>Details!AH156+Details!AH157</f>
        <v>0</v>
      </c>
      <c r="AI28" s="297"/>
    </row>
    <row r="29" spans="1:35">
      <c r="B29" s="34"/>
      <c r="C29" s="23"/>
      <c r="D29" s="23"/>
      <c r="E29" s="23"/>
      <c r="F29" s="23"/>
      <c r="G29" s="23"/>
      <c r="AI29" s="297"/>
    </row>
    <row r="30" spans="1:35" s="38" customFormat="1">
      <c r="A30" s="22" t="s">
        <v>209</v>
      </c>
      <c r="B30" s="34"/>
      <c r="C30" s="38">
        <f ca="1">+C25-C27+C28</f>
        <v>-274401.47666666668</v>
      </c>
      <c r="D30" s="38">
        <f ca="1">+D25-D27+D28</f>
        <v>-30444.249999999069</v>
      </c>
      <c r="E30" s="38">
        <f ca="1">+E25-E27+E28</f>
        <v>1841437.2583333328</v>
      </c>
      <c r="F30" s="38">
        <f ca="1">+F25-F27+F28</f>
        <v>3346650.0676666666</v>
      </c>
      <c r="G30" s="38">
        <f ca="1">+G25-G27+G28</f>
        <v>4070816.280666668</v>
      </c>
      <c r="AI30" s="297"/>
    </row>
    <row r="31" spans="1:35">
      <c r="B31" s="23" t="str">
        <f>+Details!B164</f>
        <v>Tax Exp</v>
      </c>
      <c r="C31" s="23">
        <f ca="1">+Details!R164</f>
        <v>0</v>
      </c>
      <c r="D31" s="23">
        <f ca="1">+Details!AE164</f>
        <v>0</v>
      </c>
      <c r="E31" s="23">
        <f ca="1">+Details!AF164</f>
        <v>614636.61266666674</v>
      </c>
      <c r="F31" s="23">
        <f ca="1">+Details!AG164</f>
        <v>1338660.0270666666</v>
      </c>
      <c r="G31" s="23">
        <f ca="1">+Details!AH164</f>
        <v>1628326.5122666673</v>
      </c>
      <c r="AI31" s="297"/>
    </row>
    <row r="32" spans="1:35">
      <c r="B32" s="34"/>
      <c r="C32" s="23"/>
      <c r="D32" s="23"/>
      <c r="E32" s="23"/>
      <c r="F32" s="23"/>
      <c r="G32" s="23"/>
      <c r="AI32" s="297"/>
    </row>
    <row r="33" spans="1:35" s="38" customFormat="1">
      <c r="A33" s="22" t="s">
        <v>171</v>
      </c>
      <c r="B33" s="34"/>
      <c r="C33" s="38">
        <f ca="1">+C30-C31</f>
        <v>-274401.47666666668</v>
      </c>
      <c r="D33" s="38">
        <f ca="1">+D30-D31</f>
        <v>-30444.249999999069</v>
      </c>
      <c r="E33" s="38">
        <f ca="1">+E30-E31</f>
        <v>1226800.6456666661</v>
      </c>
      <c r="F33" s="38">
        <f ca="1">+F30-F31</f>
        <v>2007990.0405999999</v>
      </c>
      <c r="G33" s="38">
        <f ca="1">+G30-G31</f>
        <v>2442489.7684000004</v>
      </c>
      <c r="AI33" s="297"/>
    </row>
    <row r="34" spans="1:35">
      <c r="A34" s="39"/>
      <c r="B34" s="40"/>
      <c r="C34" s="47">
        <f ca="1">C33/C17</f>
        <v>-0.74137514803557358</v>
      </c>
      <c r="D34" s="47">
        <f ca="1">D33/D17</f>
        <v>-7.0343044875264089E-3</v>
      </c>
      <c r="E34" s="47">
        <f ca="1">E33/E17</f>
        <v>0.11587190094815204</v>
      </c>
      <c r="F34" s="47">
        <f ca="1">F33/F17</f>
        <v>0.13078343326119723</v>
      </c>
      <c r="G34" s="47">
        <f ca="1">G33/G17</f>
        <v>0.11978873770604079</v>
      </c>
      <c r="AI34" s="297"/>
    </row>
    <row r="35" spans="1:35">
      <c r="A35" s="39"/>
      <c r="B35" s="40"/>
      <c r="C35" s="47"/>
      <c r="D35" s="47"/>
      <c r="E35" s="47"/>
      <c r="F35" s="47"/>
      <c r="G35" s="47"/>
      <c r="AI35" s="297"/>
    </row>
    <row r="36" spans="1:35" ht="15.75" thickBot="1">
      <c r="A36" s="39"/>
      <c r="B36" s="40"/>
      <c r="C36" s="47"/>
      <c r="D36" s="47"/>
      <c r="E36" s="47"/>
      <c r="F36" s="47"/>
      <c r="G36" s="47"/>
      <c r="AI36" s="297"/>
    </row>
    <row r="37" spans="1:35" s="29" customFormat="1" ht="15.75" thickTop="1">
      <c r="A37" s="28" t="str">
        <f>+$A$6</f>
        <v>PEP STRAW</v>
      </c>
      <c r="B37" s="27"/>
      <c r="C37" s="27"/>
      <c r="D37" s="27"/>
      <c r="E37" s="27"/>
      <c r="F37" s="27"/>
      <c r="G37" s="27"/>
      <c r="AI37" s="297"/>
    </row>
    <row r="38" spans="1:35" s="32" customFormat="1" ht="15.75" thickBot="1">
      <c r="A38" s="30" t="s">
        <v>284</v>
      </c>
      <c r="B38" s="31"/>
      <c r="C38" s="31"/>
      <c r="D38" s="31"/>
      <c r="E38" s="31"/>
      <c r="F38" s="31"/>
      <c r="G38" s="31"/>
      <c r="AI38" s="297"/>
    </row>
    <row r="39" spans="1:35" ht="15.75" thickTop="1">
      <c r="A39" s="33"/>
      <c r="B39" s="34"/>
      <c r="C39" s="35"/>
      <c r="D39" s="35"/>
      <c r="AI39" s="297"/>
    </row>
    <row r="40" spans="1:35" s="37" customFormat="1" ht="15">
      <c r="A40" s="36"/>
      <c r="B40" s="36"/>
      <c r="C40" s="24">
        <f>C$1</f>
        <v>43807</v>
      </c>
      <c r="D40" s="24">
        <f>D$1</f>
        <v>44179</v>
      </c>
      <c r="E40" s="24">
        <f>E$1</f>
        <v>44544</v>
      </c>
      <c r="F40" s="24">
        <f>F$1</f>
        <v>44909</v>
      </c>
      <c r="G40" s="24">
        <f>G$1</f>
        <v>45274</v>
      </c>
      <c r="AI40" s="297"/>
    </row>
    <row r="41" spans="1:35">
      <c r="A41" s="22" t="s">
        <v>212</v>
      </c>
      <c r="B41" s="34"/>
      <c r="C41" s="41"/>
      <c r="D41" s="41"/>
      <c r="E41" s="41"/>
      <c r="F41" s="41"/>
      <c r="G41" s="41"/>
      <c r="AI41" s="297"/>
    </row>
    <row r="42" spans="1:35">
      <c r="A42" s="22" t="s">
        <v>213</v>
      </c>
      <c r="B42" s="34"/>
      <c r="C42" s="23"/>
      <c r="D42" s="23"/>
      <c r="E42" s="23"/>
      <c r="F42" s="23"/>
      <c r="G42" s="23"/>
      <c r="AI42" s="297"/>
    </row>
    <row r="43" spans="1:35" s="44" customFormat="1">
      <c r="A43" s="42"/>
      <c r="B43" s="34" t="str">
        <f>+Details!B177</f>
        <v>Cash</v>
      </c>
      <c r="C43" s="43">
        <f ca="1">+Details!R177</f>
        <v>14874.860000000011</v>
      </c>
      <c r="D43" s="43">
        <f ca="1">+Details!AE177</f>
        <v>851429.63550000044</v>
      </c>
      <c r="E43" s="43">
        <f ca="1">+Details!AF177</f>
        <v>2317302.5755000003</v>
      </c>
      <c r="F43" s="43">
        <f ca="1">+Details!AG177</f>
        <v>4526266.7322416669</v>
      </c>
      <c r="G43" s="43">
        <f ca="1">+Details!AH177</f>
        <v>7139905.9838749999</v>
      </c>
      <c r="AI43" s="297"/>
    </row>
    <row r="44" spans="1:35">
      <c r="B44" s="34" t="str">
        <f>+Details!B180</f>
        <v>Net Accounts Rec</v>
      </c>
      <c r="C44" s="43">
        <f ca="1">+Details!R180</f>
        <v>51450</v>
      </c>
      <c r="D44" s="43">
        <f ca="1">+Details!AE180</f>
        <v>374947.53450000001</v>
      </c>
      <c r="E44" s="43">
        <f>+Details!AF180</f>
        <v>432325.34625</v>
      </c>
      <c r="F44" s="43">
        <f>+Details!AG180</f>
        <v>626936.6433750001</v>
      </c>
      <c r="G44" s="43">
        <f>+Details!AH180</f>
        <v>832590.78262499999</v>
      </c>
      <c r="AI44" s="297"/>
    </row>
    <row r="45" spans="1:35" s="38" customFormat="1">
      <c r="A45" s="22" t="s">
        <v>216</v>
      </c>
      <c r="B45" s="34"/>
      <c r="C45" s="38">
        <f ca="1">SUM(C43:C44)</f>
        <v>66324.860000000015</v>
      </c>
      <c r="D45" s="38">
        <f ca="1">SUM(D43:D44)</f>
        <v>1226377.1700000004</v>
      </c>
      <c r="E45" s="38">
        <f ca="1">SUM(E43:E44)</f>
        <v>2749627.9217500002</v>
      </c>
      <c r="F45" s="38">
        <f ca="1">SUM(F43:F44)</f>
        <v>5153203.3756166669</v>
      </c>
      <c r="G45" s="38">
        <f ca="1">SUM(G43:G44)</f>
        <v>7972496.7664999999</v>
      </c>
      <c r="AI45" s="297"/>
    </row>
    <row r="46" spans="1:35">
      <c r="B46" s="34"/>
      <c r="C46" s="23"/>
      <c r="D46" s="23"/>
      <c r="E46" s="23"/>
      <c r="F46" s="23"/>
      <c r="G46" s="23"/>
      <c r="AI46" s="297"/>
    </row>
    <row r="47" spans="1:35" s="23" customFormat="1">
      <c r="A47" s="22" t="s">
        <v>182</v>
      </c>
      <c r="B47" s="34"/>
      <c r="C47" s="23">
        <f>+Details!R187</f>
        <v>5325</v>
      </c>
      <c r="D47" s="23">
        <f>+Details!AE187</f>
        <v>16550</v>
      </c>
      <c r="E47" s="23">
        <f>+Details!AF187</f>
        <v>23400</v>
      </c>
      <c r="F47" s="23">
        <f>+Details!AG187</f>
        <v>35100</v>
      </c>
      <c r="G47" s="23">
        <f>+Details!AH187</f>
        <v>41000</v>
      </c>
      <c r="AI47" s="297"/>
    </row>
    <row r="48" spans="1:35">
      <c r="B48" s="34" t="s">
        <v>285</v>
      </c>
      <c r="C48" s="23">
        <f>+Details!R193</f>
        <v>1322.9166666666667</v>
      </c>
      <c r="D48" s="23">
        <f ca="1">+Details!AE193</f>
        <v>6235.4166666666661</v>
      </c>
      <c r="E48" s="23">
        <f ca="1">+Details!AF193</f>
        <v>13502.083333333332</v>
      </c>
      <c r="F48" s="23">
        <f ca="1">+Details!AG193</f>
        <v>22935.416666666668</v>
      </c>
      <c r="G48" s="23">
        <f ca="1">+Details!AH193</f>
        <v>31068.75</v>
      </c>
      <c r="AI48" s="297"/>
    </row>
    <row r="49" spans="1:35" s="38" customFormat="1">
      <c r="A49" s="22" t="s">
        <v>223</v>
      </c>
      <c r="B49" s="34"/>
      <c r="C49" s="38">
        <f>+C47-C48</f>
        <v>4002.083333333333</v>
      </c>
      <c r="D49" s="38">
        <f ca="1">+D47-D48</f>
        <v>10314.583333333334</v>
      </c>
      <c r="E49" s="38">
        <f ca="1">+E47-E48</f>
        <v>9897.9166666666679</v>
      </c>
      <c r="F49" s="38">
        <f ca="1">+F47-F48</f>
        <v>12164.583333333332</v>
      </c>
      <c r="G49" s="38">
        <f ca="1">+G47-G48</f>
        <v>9931.25</v>
      </c>
      <c r="AI49" s="297"/>
    </row>
    <row r="50" spans="1:35">
      <c r="B50" s="34"/>
      <c r="C50" s="23"/>
      <c r="D50" s="23"/>
      <c r="E50" s="23"/>
      <c r="F50" s="23"/>
      <c r="G50" s="23"/>
      <c r="AI50" s="297"/>
    </row>
    <row r="51" spans="1:35" s="38" customFormat="1">
      <c r="A51" s="22" t="s">
        <v>224</v>
      </c>
      <c r="B51" s="34"/>
      <c r="C51" s="38">
        <f ca="1">+C45+C49</f>
        <v>70326.943333333344</v>
      </c>
      <c r="D51" s="38">
        <f ca="1">+D45+D49</f>
        <v>1236691.7533333336</v>
      </c>
      <c r="E51" s="38">
        <f ca="1">+E45+E49</f>
        <v>2759525.8384166667</v>
      </c>
      <c r="F51" s="38">
        <f ca="1">+F45+F49</f>
        <v>5165367.9589499999</v>
      </c>
      <c r="G51" s="38">
        <f ca="1">+G45+G49</f>
        <v>7982428.0164999999</v>
      </c>
      <c r="AI51" s="297"/>
    </row>
    <row r="52" spans="1:35">
      <c r="B52" s="34"/>
      <c r="C52" s="23"/>
      <c r="D52" s="23"/>
      <c r="E52" s="23"/>
      <c r="F52" s="23"/>
      <c r="G52" s="23"/>
      <c r="AI52" s="297"/>
    </row>
    <row r="53" spans="1:35">
      <c r="A53" s="22" t="s">
        <v>225</v>
      </c>
      <c r="B53" s="34"/>
      <c r="C53" s="23"/>
      <c r="D53" s="23"/>
      <c r="E53" s="23"/>
      <c r="F53" s="23"/>
      <c r="G53" s="23"/>
      <c r="AI53" s="297"/>
    </row>
    <row r="54" spans="1:35">
      <c r="A54" s="22" t="s">
        <v>226</v>
      </c>
      <c r="B54" s="34"/>
      <c r="C54" s="23"/>
      <c r="D54" s="23"/>
      <c r="E54" s="23"/>
      <c r="F54" s="23"/>
      <c r="G54" s="23"/>
      <c r="AI54" s="297"/>
    </row>
    <row r="55" spans="1:35">
      <c r="B55" s="34" t="str">
        <f>+Details!B202</f>
        <v>Accounts Payable (30 days)</v>
      </c>
      <c r="C55" s="23">
        <f>+Details!R202</f>
        <v>87853.42</v>
      </c>
      <c r="D55" s="23">
        <f>+Details!AE202</f>
        <v>470954.14666666667</v>
      </c>
      <c r="E55" s="23">
        <f>+Details!AF202</f>
        <v>605294.43291666673</v>
      </c>
      <c r="F55" s="23">
        <f>+Details!AG202</f>
        <v>806700.81925000006</v>
      </c>
      <c r="G55" s="23">
        <f>+Details!AH202</f>
        <v>1102217.7895</v>
      </c>
      <c r="AI55" s="297"/>
    </row>
    <row r="56" spans="1:35">
      <c r="B56" s="34" t="str">
        <f>+Details!B203</f>
        <v>Salaries Payable (15 days)</v>
      </c>
      <c r="C56" s="23">
        <f>+Details!R203</f>
        <v>6875</v>
      </c>
      <c r="D56" s="23">
        <f>+Details!AE203</f>
        <v>20583.333333333336</v>
      </c>
      <c r="E56" s="23">
        <f>+Details!AF203</f>
        <v>28617.333333333339</v>
      </c>
      <c r="F56" s="23">
        <f>+Details!AG203</f>
        <v>44057.17333333334</v>
      </c>
      <c r="G56" s="23">
        <f>+Details!AH203</f>
        <v>50693.870933333332</v>
      </c>
      <c r="AI56" s="297"/>
    </row>
    <row r="57" spans="1:35">
      <c r="B57" s="34" t="str">
        <f>+Details!B204</f>
        <v>Taxes Payable (90 days)</v>
      </c>
      <c r="C57" s="23">
        <f ca="1">+Details!R204</f>
        <v>0</v>
      </c>
      <c r="D57" s="23">
        <f ca="1">+Details!AE204</f>
        <v>0</v>
      </c>
      <c r="E57" s="23">
        <f ca="1">+Details!AF204</f>
        <v>153659.15316666669</v>
      </c>
      <c r="F57" s="23">
        <f ca="1">+Details!AG204</f>
        <v>334665.00676666666</v>
      </c>
      <c r="G57" s="23">
        <f ca="1">+Details!AH204</f>
        <v>407081.62806666683</v>
      </c>
      <c r="AI57" s="297"/>
    </row>
    <row r="58" spans="1:35">
      <c r="B58" s="34" t="str">
        <f>+Details!B205</f>
        <v>Line of Credit (0% of net A/R)</v>
      </c>
      <c r="C58" s="23">
        <f ca="1">+Details!R205</f>
        <v>0</v>
      </c>
      <c r="D58" s="23">
        <f ca="1">+Details!AE205</f>
        <v>0</v>
      </c>
      <c r="E58" s="23">
        <f>+Details!AF205</f>
        <v>0</v>
      </c>
      <c r="F58" s="23">
        <f>+Details!AG205</f>
        <v>0</v>
      </c>
      <c r="G58" s="23">
        <f>+Details!AH205</f>
        <v>0</v>
      </c>
      <c r="AI58" s="297"/>
    </row>
    <row r="59" spans="1:35">
      <c r="B59" s="34" t="str">
        <f>+Details!B206</f>
        <v>Current Portion of Cap Equip Lease</v>
      </c>
      <c r="C59" s="23">
        <f>+Details!R206</f>
        <v>0</v>
      </c>
      <c r="D59" s="23">
        <f ca="1">+Details!AE206</f>
        <v>0</v>
      </c>
      <c r="E59" s="23">
        <f ca="1">+Details!AF206</f>
        <v>0</v>
      </c>
      <c r="F59" s="23">
        <f ca="1">+Details!AG206</f>
        <v>0</v>
      </c>
      <c r="G59" s="23">
        <f ca="1">+Details!AH206</f>
        <v>0</v>
      </c>
      <c r="AI59" s="297"/>
    </row>
    <row r="60" spans="1:35">
      <c r="B60" s="34" t="str">
        <f>+Details!B207</f>
        <v>Current Portion of Long Term Debt</v>
      </c>
      <c r="C60" s="23">
        <f>+Details!R207</f>
        <v>0</v>
      </c>
      <c r="D60" s="23">
        <f ca="1">+Details!AE207</f>
        <v>0</v>
      </c>
      <c r="E60" s="23">
        <f ca="1">+Details!AF207</f>
        <v>0</v>
      </c>
      <c r="F60" s="23">
        <f ca="1">+Details!AG207</f>
        <v>0</v>
      </c>
      <c r="G60" s="23">
        <f ca="1">+Details!AH207</f>
        <v>0</v>
      </c>
      <c r="AI60" s="297"/>
    </row>
    <row r="61" spans="1:35" s="38" customFormat="1">
      <c r="A61" s="22" t="s">
        <v>286</v>
      </c>
      <c r="B61" s="34"/>
      <c r="C61" s="38">
        <f ca="1">SUM(C55:C60)</f>
        <v>94728.42</v>
      </c>
      <c r="D61" s="38">
        <f ca="1">SUM(D55:D60)</f>
        <v>491537.48</v>
      </c>
      <c r="E61" s="38">
        <f ca="1">SUM(E55:E60)</f>
        <v>787570.91941666673</v>
      </c>
      <c r="F61" s="38">
        <f ca="1">SUM(F55:F60)</f>
        <v>1185422.9993500002</v>
      </c>
      <c r="G61" s="38">
        <f ca="1">SUM(G55:G60)</f>
        <v>1559993.2885000003</v>
      </c>
      <c r="AI61" s="297"/>
    </row>
    <row r="62" spans="1:35">
      <c r="B62" s="34"/>
      <c r="C62" s="23"/>
      <c r="D62" s="23"/>
      <c r="E62" s="23"/>
      <c r="F62" s="23"/>
      <c r="G62" s="23"/>
      <c r="AI62" s="297"/>
    </row>
    <row r="63" spans="1:35">
      <c r="A63" s="22" t="s">
        <v>230</v>
      </c>
      <c r="B63" s="34"/>
      <c r="C63" s="23"/>
      <c r="D63" s="23"/>
      <c r="E63" s="23"/>
      <c r="F63" s="23"/>
      <c r="G63" s="23"/>
      <c r="AI63" s="297"/>
    </row>
    <row r="64" spans="1:35">
      <c r="B64" s="34" t="str">
        <f>+Details!B211</f>
        <v>Capital Equipment Lease (3 years)</v>
      </c>
      <c r="C64" s="23">
        <f>+Details!R211</f>
        <v>0</v>
      </c>
      <c r="D64" s="23">
        <f ca="1">+Details!AE211</f>
        <v>0</v>
      </c>
      <c r="E64" s="23">
        <f ca="1">+Details!AF211</f>
        <v>0</v>
      </c>
      <c r="F64" s="23">
        <f ca="1">+Details!AG211</f>
        <v>0</v>
      </c>
      <c r="G64" s="23">
        <f ca="1">+Details!AH211</f>
        <v>0</v>
      </c>
      <c r="AI64" s="297"/>
    </row>
    <row r="65" spans="1:35">
      <c r="B65" s="34" t="str">
        <f>+Details!B212</f>
        <v>Long Term Debt (5 years)</v>
      </c>
      <c r="C65" s="23">
        <f>+Details!R212</f>
        <v>0</v>
      </c>
      <c r="D65" s="23">
        <f ca="1">+Details!AE212</f>
        <v>0</v>
      </c>
      <c r="E65" s="23">
        <f ca="1">+Details!AF212</f>
        <v>0</v>
      </c>
      <c r="F65" s="23">
        <f ca="1">+Details!AG212</f>
        <v>0</v>
      </c>
      <c r="G65" s="23">
        <f ca="1">+Details!AH212</f>
        <v>0</v>
      </c>
      <c r="AI65" s="297"/>
    </row>
    <row r="66" spans="1:35" s="38" customFormat="1">
      <c r="A66" s="22" t="s">
        <v>287</v>
      </c>
      <c r="B66" s="34"/>
      <c r="C66" s="38">
        <f>SUM(C64:C65)</f>
        <v>0</v>
      </c>
      <c r="D66" s="38">
        <f ca="1">SUM(D64:D65)</f>
        <v>0</v>
      </c>
      <c r="E66" s="38">
        <f ca="1">SUM(E64:E65)</f>
        <v>0</v>
      </c>
      <c r="F66" s="38">
        <f ca="1">SUM(F64:F65)</f>
        <v>0</v>
      </c>
      <c r="G66" s="38">
        <f ca="1">SUM(G64:G65)</f>
        <v>0</v>
      </c>
      <c r="AI66" s="297"/>
    </row>
    <row r="67" spans="1:35">
      <c r="B67" s="34"/>
      <c r="C67" s="23"/>
      <c r="D67" s="23"/>
      <c r="E67" s="23"/>
      <c r="F67" s="23"/>
      <c r="G67" s="23"/>
      <c r="AI67" s="297"/>
    </row>
    <row r="68" spans="1:35" s="38" customFormat="1">
      <c r="A68" s="22" t="s">
        <v>232</v>
      </c>
      <c r="B68" s="34"/>
      <c r="C68" s="38">
        <f ca="1">+C61+C66</f>
        <v>94728.42</v>
      </c>
      <c r="D68" s="38">
        <f ca="1">+D61+D66</f>
        <v>491537.48</v>
      </c>
      <c r="E68" s="38">
        <f ca="1">+E61+E66</f>
        <v>787570.91941666673</v>
      </c>
      <c r="F68" s="38">
        <f ca="1">+F61+F66</f>
        <v>1185422.9993500002</v>
      </c>
      <c r="G68" s="38">
        <f ca="1">+G61+G66</f>
        <v>1559993.2885000003</v>
      </c>
      <c r="AI68" s="297"/>
    </row>
    <row r="69" spans="1:35">
      <c r="B69" s="34"/>
      <c r="C69" s="23"/>
      <c r="D69" s="23"/>
      <c r="E69" s="23"/>
      <c r="F69" s="23"/>
      <c r="G69" s="23"/>
      <c r="AI69" s="297"/>
    </row>
    <row r="70" spans="1:35">
      <c r="A70" s="22" t="s">
        <v>233</v>
      </c>
      <c r="B70" s="34"/>
      <c r="C70" s="23"/>
      <c r="D70" s="23"/>
      <c r="E70" s="23"/>
      <c r="F70" s="23"/>
      <c r="G70" s="23"/>
      <c r="AI70" s="297"/>
    </row>
    <row r="71" spans="1:35">
      <c r="B71" s="34" t="str">
        <f>+Details!B218</f>
        <v>Preferred Stock</v>
      </c>
      <c r="C71" s="23">
        <f>+Details!R218</f>
        <v>150000</v>
      </c>
      <c r="D71" s="23">
        <f>+Details!AE218</f>
        <v>950000</v>
      </c>
      <c r="E71" s="23">
        <f>+Details!AF218</f>
        <v>950000</v>
      </c>
      <c r="F71" s="23">
        <f>+Details!AG218</f>
        <v>950000</v>
      </c>
      <c r="G71" s="23">
        <f>+Details!AH218</f>
        <v>950000</v>
      </c>
      <c r="AI71" s="297"/>
    </row>
    <row r="72" spans="1:35">
      <c r="B72" s="34" t="str">
        <f>+Details!B219</f>
        <v>Common Stock</v>
      </c>
      <c r="C72" s="23">
        <f>+Details!R219</f>
        <v>0</v>
      </c>
      <c r="D72" s="23">
        <f>+Details!AE219</f>
        <v>0</v>
      </c>
      <c r="E72" s="23">
        <f>+Details!AF219</f>
        <v>0</v>
      </c>
      <c r="F72" s="23">
        <f>+Details!AG219</f>
        <v>0</v>
      </c>
      <c r="G72" s="23">
        <f>+Details!AH219</f>
        <v>0</v>
      </c>
      <c r="AI72" s="297"/>
    </row>
    <row r="73" spans="1:35">
      <c r="B73" s="34" t="str">
        <f>+Details!B220</f>
        <v>Retained Earnings</v>
      </c>
      <c r="C73" s="23">
        <f ca="1">+Details!R220</f>
        <v>-174401.47666666665</v>
      </c>
      <c r="D73" s="23">
        <f ca="1">+Details!AE220</f>
        <v>-204845.72666666622</v>
      </c>
      <c r="E73" s="23">
        <f ca="1">+Details!AF220</f>
        <v>1021954.9189999999</v>
      </c>
      <c r="F73" s="23">
        <f ca="1">+Details!AG220</f>
        <v>3029944.9595999997</v>
      </c>
      <c r="G73" s="23">
        <f ca="1">+Details!AH220</f>
        <v>5472434.7280000001</v>
      </c>
      <c r="AI73" s="297"/>
    </row>
    <row r="74" spans="1:35" s="38" customFormat="1">
      <c r="A74" s="22" t="s">
        <v>237</v>
      </c>
      <c r="B74" s="34"/>
      <c r="C74" s="38">
        <f ca="1">SUM(C71:C73)</f>
        <v>-24401.476666666655</v>
      </c>
      <c r="D74" s="38">
        <f ca="1">SUM(D71:D73)</f>
        <v>745154.27333333378</v>
      </c>
      <c r="E74" s="38">
        <f ca="1">SUM(E71:E73)</f>
        <v>1971954.9189999998</v>
      </c>
      <c r="F74" s="38">
        <f ca="1">SUM(F71:F73)</f>
        <v>3979944.9595999997</v>
      </c>
      <c r="G74" s="38">
        <f ca="1">SUM(G71:G73)</f>
        <v>6422434.7280000001</v>
      </c>
      <c r="AI74" s="297"/>
    </row>
    <row r="75" spans="1:35">
      <c r="B75" s="34"/>
      <c r="C75" s="23"/>
      <c r="D75" s="23"/>
      <c r="E75" s="23"/>
      <c r="F75" s="23"/>
      <c r="G75" s="23"/>
      <c r="AI75" s="297"/>
    </row>
    <row r="76" spans="1:35" s="38" customFormat="1" ht="13.5" customHeight="1" thickBot="1">
      <c r="A76" s="22" t="s">
        <v>238</v>
      </c>
      <c r="B76" s="34"/>
      <c r="C76" s="38">
        <f ca="1">+C68+C74</f>
        <v>70326.943333333344</v>
      </c>
      <c r="D76" s="38">
        <f ca="1">+D68+D74</f>
        <v>1236691.7533333339</v>
      </c>
      <c r="E76" s="38">
        <f ca="1">+E68+E74</f>
        <v>2759525.8384166667</v>
      </c>
      <c r="F76" s="38">
        <f ca="1">+F68+F74</f>
        <v>5165367.9589499999</v>
      </c>
      <c r="G76" s="38">
        <f ca="1">+G68+G74</f>
        <v>7982428.0164999999</v>
      </c>
      <c r="AI76" s="297"/>
    </row>
    <row r="77" spans="1:35" s="29" customFormat="1" ht="15.75" thickTop="1">
      <c r="A77" s="28" t="str">
        <f>+$A$6</f>
        <v>PEP STRAW</v>
      </c>
      <c r="B77" s="27"/>
      <c r="C77" s="27"/>
      <c r="D77" s="27"/>
      <c r="E77" s="27"/>
      <c r="F77" s="27"/>
      <c r="G77" s="27"/>
      <c r="AI77" s="297"/>
    </row>
    <row r="78" spans="1:35" s="32" customFormat="1" ht="15.75" thickBot="1">
      <c r="A78" s="30" t="s">
        <v>288</v>
      </c>
      <c r="B78" s="31"/>
      <c r="C78" s="31"/>
      <c r="D78" s="31"/>
      <c r="E78" s="31"/>
      <c r="F78" s="31"/>
      <c r="G78" s="31"/>
      <c r="AI78" s="297"/>
    </row>
    <row r="79" spans="1:35" ht="15.75" thickTop="1">
      <c r="A79" s="33"/>
      <c r="B79" s="34"/>
      <c r="C79" s="35"/>
      <c r="D79" s="35"/>
      <c r="AI79" s="297"/>
    </row>
    <row r="80" spans="1:35" s="37" customFormat="1" ht="15">
      <c r="A80" s="36"/>
      <c r="B80" s="36"/>
      <c r="C80" s="24">
        <f>C$1</f>
        <v>43807</v>
      </c>
      <c r="D80" s="24">
        <f>D$1</f>
        <v>44179</v>
      </c>
      <c r="E80" s="24">
        <f>E$1</f>
        <v>44544</v>
      </c>
      <c r="F80" s="24">
        <f>F$1</f>
        <v>44909</v>
      </c>
      <c r="G80" s="24">
        <f>G$1</f>
        <v>45274</v>
      </c>
      <c r="AI80" s="297"/>
    </row>
    <row r="81" spans="1:35">
      <c r="A81" s="33"/>
      <c r="B81" s="34"/>
      <c r="C81" s="35"/>
      <c r="D81" s="35"/>
      <c r="AI81" s="297"/>
    </row>
    <row r="82" spans="1:35">
      <c r="A82" s="22" t="s">
        <v>140</v>
      </c>
      <c r="B82" s="34"/>
      <c r="C82" s="23">
        <f>+Details!R51</f>
        <v>100000</v>
      </c>
      <c r="D82" s="23">
        <f ca="1">+Details!AE51</f>
        <v>14874.860000000022</v>
      </c>
      <c r="E82" s="23">
        <f ca="1">+Details!AF51</f>
        <v>851429.63550000056</v>
      </c>
      <c r="F82" s="23">
        <f ca="1">+Details!AG51</f>
        <v>2317302.5755000003</v>
      </c>
      <c r="G82" s="23">
        <f ca="1">+Details!AH51</f>
        <v>4526266.7322416659</v>
      </c>
      <c r="AI82" s="297"/>
    </row>
    <row r="83" spans="1:35">
      <c r="B83" s="34"/>
      <c r="AI83" s="297"/>
    </row>
    <row r="84" spans="1:35">
      <c r="A84" s="22" t="s">
        <v>170</v>
      </c>
      <c r="B84" s="34"/>
      <c r="AI84" s="297"/>
    </row>
    <row r="85" spans="1:35">
      <c r="B85" s="34" t="str">
        <f>+Details!B54</f>
        <v>Net Income</v>
      </c>
      <c r="C85" s="43">
        <f ca="1">+Details!R54</f>
        <v>-274401.47666666668</v>
      </c>
      <c r="D85" s="43">
        <f ca="1">+Details!AE54</f>
        <v>-30444.249999999593</v>
      </c>
      <c r="E85" s="43">
        <f ca="1">+Details!AF54</f>
        <v>1226800.6456666661</v>
      </c>
      <c r="F85" s="43">
        <f ca="1">+Details!AG54</f>
        <v>2007990.0405999999</v>
      </c>
      <c r="G85" s="43">
        <f ca="1">+Details!AH54</f>
        <v>2442489.7684000004</v>
      </c>
      <c r="AI85" s="297"/>
    </row>
    <row r="86" spans="1:35">
      <c r="B86" s="34" t="str">
        <f>+Details!B55</f>
        <v>Add Depr/Amort</v>
      </c>
      <c r="C86" s="43">
        <f>+Details!R55</f>
        <v>1322.9166666666667</v>
      </c>
      <c r="D86" s="43">
        <f ca="1">+Details!AE55</f>
        <v>4912.4999999999991</v>
      </c>
      <c r="E86" s="43">
        <f ca="1">+Details!AF55</f>
        <v>7266.6666666666661</v>
      </c>
      <c r="F86" s="43">
        <f ca="1">+Details!AG55</f>
        <v>9433.3333333333358</v>
      </c>
      <c r="G86" s="43">
        <f ca="1">+Details!AH55</f>
        <v>8133.3333333333321</v>
      </c>
      <c r="AI86" s="297"/>
    </row>
    <row r="87" spans="1:35">
      <c r="B87" s="34" t="str">
        <f>+Details!B56</f>
        <v>Issuance of Preferred Stock</v>
      </c>
      <c r="C87" s="43">
        <f>+Details!R56</f>
        <v>150000</v>
      </c>
      <c r="D87" s="43">
        <f>+Details!AE56</f>
        <v>800000</v>
      </c>
      <c r="E87" s="43">
        <f>+Details!AF56</f>
        <v>0</v>
      </c>
      <c r="F87" s="43">
        <f>+Details!AG56</f>
        <v>0</v>
      </c>
      <c r="G87" s="43">
        <f>+Details!AH56</f>
        <v>0</v>
      </c>
      <c r="AI87" s="297"/>
    </row>
    <row r="88" spans="1:35">
      <c r="B88" s="34" t="str">
        <f>+Details!B57</f>
        <v>Issuance of Common Stock</v>
      </c>
      <c r="C88" s="43">
        <f>+Details!R57</f>
        <v>0</v>
      </c>
      <c r="D88" s="43">
        <f>+Details!AE57</f>
        <v>0</v>
      </c>
      <c r="E88" s="43">
        <f>+Details!AF57</f>
        <v>0</v>
      </c>
      <c r="F88" s="43">
        <f>+Details!AG57</f>
        <v>0</v>
      </c>
      <c r="G88" s="43">
        <f>+Details!AH57</f>
        <v>0</v>
      </c>
      <c r="AI88" s="297"/>
    </row>
    <row r="89" spans="1:35">
      <c r="A89" s="45" t="s">
        <v>173</v>
      </c>
      <c r="B89" s="34"/>
      <c r="AI89" s="297"/>
    </row>
    <row r="90" spans="1:35">
      <c r="B90" s="34" t="str">
        <f>+Details!B59</f>
        <v>Accounts Payable (30 days)</v>
      </c>
      <c r="C90" s="43">
        <f>+Details!R59</f>
        <v>87853.42</v>
      </c>
      <c r="D90" s="43">
        <f>+Details!AE59</f>
        <v>383100.72666666663</v>
      </c>
      <c r="E90" s="43">
        <f>+Details!AF59</f>
        <v>134340.28625000006</v>
      </c>
      <c r="F90" s="43">
        <f>+Details!AG59</f>
        <v>201406.38633333333</v>
      </c>
      <c r="G90" s="43">
        <f>+Details!AH59</f>
        <v>295516.9702499999</v>
      </c>
      <c r="AI90" s="297"/>
    </row>
    <row r="91" spans="1:35">
      <c r="B91" s="34" t="str">
        <f>+Details!B60</f>
        <v>Salaries Payable (15 days)</v>
      </c>
      <c r="C91" s="43">
        <f>+Details!R60</f>
        <v>6875</v>
      </c>
      <c r="D91" s="43">
        <f>+Details!AE60</f>
        <v>13708.333333333336</v>
      </c>
      <c r="E91" s="43">
        <f>+Details!AF60</f>
        <v>8034.0000000000036</v>
      </c>
      <c r="F91" s="43">
        <f>+Details!AG60</f>
        <v>15439.84</v>
      </c>
      <c r="G91" s="43">
        <f>+Details!AH60</f>
        <v>6636.6975999999922</v>
      </c>
      <c r="AI91" s="297"/>
    </row>
    <row r="92" spans="1:35">
      <c r="B92" s="34" t="str">
        <f>+Details!B61</f>
        <v>Taxes Payable (90 days)</v>
      </c>
      <c r="C92" s="43">
        <f ca="1">+Details!R61</f>
        <v>0</v>
      </c>
      <c r="D92" s="43">
        <f ca="1">+Details!AE61</f>
        <v>0</v>
      </c>
      <c r="E92" s="43">
        <f ca="1">+Details!AF61</f>
        <v>153659.15316666669</v>
      </c>
      <c r="F92" s="43">
        <f ca="1">+Details!AG61</f>
        <v>181005.85359999997</v>
      </c>
      <c r="G92" s="43">
        <f ca="1">+Details!AH61</f>
        <v>72416.621300000174</v>
      </c>
      <c r="AI92" s="297"/>
    </row>
    <row r="93" spans="1:35">
      <c r="B93" s="34" t="str">
        <f>+Details!B62</f>
        <v>Additions to Line of Credit</v>
      </c>
      <c r="C93" s="43">
        <f ca="1">+Details!R62</f>
        <v>0</v>
      </c>
      <c r="D93" s="43">
        <f ca="1">+Details!AE62</f>
        <v>0</v>
      </c>
      <c r="E93" s="43">
        <f ca="1">+Details!AF62</f>
        <v>0</v>
      </c>
      <c r="F93" s="43">
        <f>+Details!AG62</f>
        <v>0</v>
      </c>
      <c r="G93" s="43">
        <f>+Details!AH62</f>
        <v>0</v>
      </c>
      <c r="AI93" s="297"/>
    </row>
    <row r="94" spans="1:35">
      <c r="B94" s="34" t="str">
        <f>+Details!B63</f>
        <v>Additions to Cap Equip Lease</v>
      </c>
      <c r="C94" s="43">
        <f>+Details!R63</f>
        <v>0</v>
      </c>
      <c r="D94" s="43">
        <f ca="1">+Details!AE63</f>
        <v>0</v>
      </c>
      <c r="E94" s="43">
        <f ca="1">+Details!AF63</f>
        <v>0</v>
      </c>
      <c r="F94" s="43">
        <f ca="1">+Details!AG63</f>
        <v>0</v>
      </c>
      <c r="G94" s="43">
        <f ca="1">+Details!AH63</f>
        <v>0</v>
      </c>
      <c r="AI94" s="297"/>
    </row>
    <row r="95" spans="1:35">
      <c r="B95" s="34" t="str">
        <f>+Details!B64</f>
        <v>Additions to Long Term Debt</v>
      </c>
      <c r="C95" s="43">
        <f>+Details!R64</f>
        <v>0</v>
      </c>
      <c r="D95" s="43">
        <f ca="1">+Details!AE64</f>
        <v>0</v>
      </c>
      <c r="E95" s="43">
        <f ca="1">+Details!AF64</f>
        <v>0</v>
      </c>
      <c r="F95" s="43">
        <f ca="1">+Details!AG64</f>
        <v>0</v>
      </c>
      <c r="G95" s="43">
        <f ca="1">+Details!AH64</f>
        <v>0</v>
      </c>
      <c r="AI95" s="297"/>
    </row>
    <row r="96" spans="1:35" s="38" customFormat="1">
      <c r="A96" s="22" t="s">
        <v>177</v>
      </c>
      <c r="B96" s="34"/>
      <c r="C96" s="38">
        <f ca="1">SUM(C85:C95)</f>
        <v>-28350.14</v>
      </c>
      <c r="D96" s="38">
        <f ca="1">SUM(D85:D95)</f>
        <v>1171277.3100000003</v>
      </c>
      <c r="E96" s="38">
        <f ca="1">SUM(E85:E95)</f>
        <v>1530100.7517499996</v>
      </c>
      <c r="F96" s="38">
        <f ca="1">SUM(F85:F95)</f>
        <v>2415275.4538666662</v>
      </c>
      <c r="G96" s="38">
        <f ca="1">SUM(G85:G95)</f>
        <v>2825193.390883334</v>
      </c>
      <c r="AI96" s="297"/>
    </row>
    <row r="97" spans="1:35">
      <c r="B97" s="34"/>
      <c r="AI97" s="297"/>
    </row>
    <row r="98" spans="1:35">
      <c r="A98" s="22" t="s">
        <v>178</v>
      </c>
      <c r="B98" s="34"/>
      <c r="AI98" s="297"/>
    </row>
    <row r="99" spans="1:35">
      <c r="A99" s="45" t="s">
        <v>181</v>
      </c>
      <c r="AI99" s="297"/>
    </row>
    <row r="100" spans="1:35">
      <c r="B100" s="34" t="str">
        <f>+Details!B71</f>
        <v>Net Accounts Rec</v>
      </c>
      <c r="C100" s="43">
        <f ca="1">+Details!R71</f>
        <v>51450</v>
      </c>
      <c r="D100" s="43">
        <f ca="1">+Details!AE71</f>
        <v>323497.53450000001</v>
      </c>
      <c r="E100" s="43">
        <f ca="1">+Details!AF71</f>
        <v>57377.811749999993</v>
      </c>
      <c r="F100" s="43">
        <f>+Details!AG71</f>
        <v>194611.2971250001</v>
      </c>
      <c r="G100" s="43">
        <f>+Details!AH71</f>
        <v>205654.13924999989</v>
      </c>
      <c r="AI100" s="297"/>
    </row>
    <row r="101" spans="1:35">
      <c r="B101" s="34" t="str">
        <f>+Details!B72</f>
        <v>Gross Fixed Assets</v>
      </c>
      <c r="C101" s="43">
        <f>+Details!R72</f>
        <v>5325</v>
      </c>
      <c r="D101" s="43">
        <f>+Details!AE72</f>
        <v>11225</v>
      </c>
      <c r="E101" s="43">
        <f>+Details!AF72</f>
        <v>6850</v>
      </c>
      <c r="F101" s="43">
        <f>+Details!AG72</f>
        <v>11700</v>
      </c>
      <c r="G101" s="43">
        <f>+Details!AH72</f>
        <v>5900</v>
      </c>
      <c r="AI101" s="297"/>
    </row>
    <row r="102" spans="1:35">
      <c r="B102" s="34" t="str">
        <f>+Details!B73</f>
        <v>Reductions to Line of Credit</v>
      </c>
      <c r="C102" s="43">
        <f ca="1">+Details!R73</f>
        <v>0</v>
      </c>
      <c r="D102" s="43">
        <f ca="1">+Details!AE73</f>
        <v>0</v>
      </c>
      <c r="E102" s="43">
        <f ca="1">+Details!AF73</f>
        <v>0</v>
      </c>
      <c r="F102" s="43">
        <f>+Details!AG73</f>
        <v>0</v>
      </c>
      <c r="G102" s="43">
        <f>+Details!AH73</f>
        <v>0</v>
      </c>
      <c r="AI102" s="297"/>
    </row>
    <row r="103" spans="1:35">
      <c r="B103" s="34" t="str">
        <f>+Details!B74</f>
        <v>Reductions to Cap Equip Lease</v>
      </c>
      <c r="C103" s="43">
        <f>+Details!R74</f>
        <v>0</v>
      </c>
      <c r="D103" s="43">
        <f ca="1">+Details!AE74</f>
        <v>0</v>
      </c>
      <c r="E103" s="43">
        <f ca="1">+Details!AF74</f>
        <v>0</v>
      </c>
      <c r="F103" s="43">
        <f ca="1">+Details!AG74</f>
        <v>0</v>
      </c>
      <c r="G103" s="43">
        <f ca="1">+Details!AH74</f>
        <v>0</v>
      </c>
      <c r="AI103" s="297"/>
    </row>
    <row r="104" spans="1:35">
      <c r="B104" s="34" t="str">
        <f>+Details!B75</f>
        <v>Reductions to Long Term Debt</v>
      </c>
      <c r="C104" s="43">
        <f>+Details!R75</f>
        <v>0</v>
      </c>
      <c r="D104" s="43">
        <f ca="1">+Details!AE75</f>
        <v>0</v>
      </c>
      <c r="E104" s="43">
        <f ca="1">+Details!AF75</f>
        <v>0</v>
      </c>
      <c r="F104" s="43">
        <f ca="1">+Details!AG75</f>
        <v>0</v>
      </c>
      <c r="G104" s="43">
        <f ca="1">+Details!AH75</f>
        <v>0</v>
      </c>
      <c r="AI104" s="297"/>
    </row>
    <row r="105" spans="1:35" s="38" customFormat="1">
      <c r="A105" s="22" t="s">
        <v>186</v>
      </c>
      <c r="B105" s="34"/>
      <c r="C105" s="38">
        <f ca="1">SUM(C100:C104)</f>
        <v>56775</v>
      </c>
      <c r="D105" s="38">
        <f ca="1">SUM(D100:D104)</f>
        <v>334722.53450000001</v>
      </c>
      <c r="E105" s="38">
        <f ca="1">SUM(E100:E104)</f>
        <v>64227.811749999993</v>
      </c>
      <c r="F105" s="38">
        <f ca="1">SUM(F100:F104)</f>
        <v>206311.2971250001</v>
      </c>
      <c r="G105" s="38">
        <f ca="1">SUM(G100:G104)</f>
        <v>211554.13924999989</v>
      </c>
      <c r="AI105" s="297"/>
    </row>
    <row r="106" spans="1:35">
      <c r="B106" s="34"/>
      <c r="AI106" s="297"/>
    </row>
    <row r="107" spans="1:35" s="38" customFormat="1">
      <c r="A107" s="22" t="s">
        <v>187</v>
      </c>
      <c r="B107" s="34"/>
      <c r="C107" s="38">
        <f ca="1">+C96-C105</f>
        <v>-85125.14</v>
      </c>
      <c r="D107" s="38">
        <f ca="1">+D96-D105</f>
        <v>836554.77550000022</v>
      </c>
      <c r="E107" s="38">
        <f ca="1">+E96-E105</f>
        <v>1465872.9399999995</v>
      </c>
      <c r="F107" s="38">
        <f ca="1">+F96-F105</f>
        <v>2208964.1567416661</v>
      </c>
      <c r="G107" s="38">
        <f ca="1">+G96-G105</f>
        <v>2613639.251633334</v>
      </c>
      <c r="AI107" s="297"/>
    </row>
    <row r="108" spans="1:35">
      <c r="B108" s="34"/>
      <c r="AI108" s="297"/>
    </row>
    <row r="109" spans="1:35" s="38" customFormat="1">
      <c r="A109" s="22" t="s">
        <v>168</v>
      </c>
      <c r="B109" s="34"/>
      <c r="C109" s="38">
        <f ca="1">+C82+C107</f>
        <v>14874.86</v>
      </c>
      <c r="D109" s="38">
        <f ca="1">+D82+D107</f>
        <v>851429.63550000021</v>
      </c>
      <c r="E109" s="38">
        <f ca="1">+E82+E107</f>
        <v>2317302.5755000003</v>
      </c>
      <c r="F109" s="38">
        <f ca="1">+F82+F107</f>
        <v>4526266.7322416659</v>
      </c>
      <c r="G109" s="38">
        <f ca="1">+G82+G107</f>
        <v>7139905.9838749999</v>
      </c>
      <c r="AI109" s="297"/>
    </row>
    <row r="110" spans="1:35">
      <c r="B110" s="34"/>
      <c r="AI110" s="297"/>
    </row>
    <row r="111" spans="1:35">
      <c r="AI111" s="297"/>
    </row>
    <row r="112" spans="1:35">
      <c r="AI112" s="297"/>
    </row>
    <row r="113" spans="35:35">
      <c r="AI113" s="297"/>
    </row>
    <row r="114" spans="35:35">
      <c r="AI114" s="297"/>
    </row>
    <row r="115" spans="35:35">
      <c r="AI115" s="297"/>
    </row>
    <row r="116" spans="35:35">
      <c r="AI116" s="297"/>
    </row>
    <row r="117" spans="35:35">
      <c r="AI117" s="297"/>
    </row>
    <row r="118" spans="35:35">
      <c r="AI118" s="297"/>
    </row>
    <row r="119" spans="35:35">
      <c r="AI119" s="297"/>
    </row>
    <row r="120" spans="35:35">
      <c r="AI120" s="297"/>
    </row>
    <row r="121" spans="35:35">
      <c r="AI121" s="297"/>
    </row>
    <row r="122" spans="35:35">
      <c r="AI122" s="297"/>
    </row>
    <row r="123" spans="35:35">
      <c r="AI123" s="297"/>
    </row>
    <row r="124" spans="35:35">
      <c r="AI124" s="297"/>
    </row>
    <row r="125" spans="35:35">
      <c r="AI125" s="297"/>
    </row>
    <row r="126" spans="35:35">
      <c r="AI126" s="297"/>
    </row>
    <row r="127" spans="35:35">
      <c r="AI127" s="297"/>
    </row>
    <row r="128" spans="35:35">
      <c r="AI128" s="297"/>
    </row>
    <row r="129" spans="35:35">
      <c r="AI129" s="297"/>
    </row>
    <row r="130" spans="35:35">
      <c r="AI130" s="297"/>
    </row>
    <row r="131" spans="35:35">
      <c r="AI131" s="297"/>
    </row>
    <row r="132" spans="35:35">
      <c r="AI132" s="297"/>
    </row>
    <row r="133" spans="35:35">
      <c r="AI133" s="297"/>
    </row>
    <row r="134" spans="35:35">
      <c r="AI134" s="297"/>
    </row>
    <row r="135" spans="35:35">
      <c r="AI135" s="297"/>
    </row>
    <row r="136" spans="35:35">
      <c r="AI136" s="297"/>
    </row>
    <row r="137" spans="35:35">
      <c r="AI137" s="297"/>
    </row>
    <row r="138" spans="35:35">
      <c r="AI138" s="297"/>
    </row>
    <row r="139" spans="35:35">
      <c r="AI139" s="297"/>
    </row>
    <row r="140" spans="35:35">
      <c r="AI140" s="297"/>
    </row>
    <row r="141" spans="35:35">
      <c r="AI141" s="297"/>
    </row>
    <row r="142" spans="35:35">
      <c r="AI142" s="297"/>
    </row>
    <row r="143" spans="35:35">
      <c r="AI143" s="297"/>
    </row>
    <row r="144" spans="35:35">
      <c r="AI144" s="297"/>
    </row>
    <row r="145" spans="35:35">
      <c r="AI145" s="297"/>
    </row>
    <row r="146" spans="35:35">
      <c r="AI146" s="297"/>
    </row>
    <row r="147" spans="35:35">
      <c r="AI147" s="297"/>
    </row>
    <row r="148" spans="35:35">
      <c r="AI148" s="297"/>
    </row>
    <row r="149" spans="35:35">
      <c r="AI149" s="297"/>
    </row>
    <row r="150" spans="35:35">
      <c r="AI150" s="297"/>
    </row>
    <row r="151" spans="35:35">
      <c r="AI151" s="297"/>
    </row>
    <row r="152" spans="35:35">
      <c r="AI152" s="297"/>
    </row>
    <row r="153" spans="35:35">
      <c r="AI153" s="297"/>
    </row>
    <row r="154" spans="35:35">
      <c r="AI154" s="297"/>
    </row>
    <row r="155" spans="35:35">
      <c r="AI155" s="297"/>
    </row>
    <row r="156" spans="35:35">
      <c r="AI156" s="297"/>
    </row>
    <row r="157" spans="35:35">
      <c r="AI157" s="297"/>
    </row>
    <row r="158" spans="35:35">
      <c r="AI158" s="297"/>
    </row>
    <row r="159" spans="35:35">
      <c r="AI159" s="297"/>
    </row>
    <row r="160" spans="35:35">
      <c r="AI160" s="297"/>
    </row>
    <row r="161" spans="35:35">
      <c r="AI161" s="297"/>
    </row>
    <row r="162" spans="35:35">
      <c r="AI162" s="297"/>
    </row>
    <row r="163" spans="35:35">
      <c r="AI163" s="297"/>
    </row>
    <row r="164" spans="35:35">
      <c r="AI164" s="297"/>
    </row>
    <row r="165" spans="35:35">
      <c r="AI165" s="297"/>
    </row>
    <row r="166" spans="35:35">
      <c r="AI166" s="297"/>
    </row>
    <row r="167" spans="35:35">
      <c r="AI167" s="297"/>
    </row>
    <row r="168" spans="35:35">
      <c r="AI168" s="297"/>
    </row>
    <row r="169" spans="35:35">
      <c r="AI169" s="297"/>
    </row>
    <row r="170" spans="35:35">
      <c r="AI170" s="297"/>
    </row>
    <row r="171" spans="35:35">
      <c r="AI171" s="297"/>
    </row>
    <row r="172" spans="35:35">
      <c r="AI172" s="297"/>
    </row>
    <row r="173" spans="35:35">
      <c r="AI173" s="297"/>
    </row>
    <row r="174" spans="35:35">
      <c r="AI174" s="297"/>
    </row>
    <row r="175" spans="35:35">
      <c r="AI175" s="297"/>
    </row>
    <row r="176" spans="35:35">
      <c r="AI176" s="297"/>
    </row>
    <row r="177" spans="35:35">
      <c r="AI177" s="297"/>
    </row>
    <row r="178" spans="35:35">
      <c r="AI178" s="297"/>
    </row>
    <row r="179" spans="35:35">
      <c r="AI179" s="297"/>
    </row>
    <row r="180" spans="35:35">
      <c r="AI180" s="297"/>
    </row>
    <row r="181" spans="35:35">
      <c r="AI181" s="297"/>
    </row>
    <row r="182" spans="35:35">
      <c r="AI182" s="297"/>
    </row>
    <row r="183" spans="35:35">
      <c r="AI183" s="297"/>
    </row>
    <row r="184" spans="35:35">
      <c r="AI184" s="297"/>
    </row>
    <row r="185" spans="35:35">
      <c r="AI185" s="297"/>
    </row>
    <row r="186" spans="35:35">
      <c r="AI186" s="297"/>
    </row>
    <row r="187" spans="35:35">
      <c r="AI187" s="297"/>
    </row>
    <row r="188" spans="35:35">
      <c r="AI188" s="297"/>
    </row>
    <row r="189" spans="35:35">
      <c r="AI189" s="297"/>
    </row>
    <row r="190" spans="35:35">
      <c r="AI190" s="297"/>
    </row>
    <row r="191" spans="35:35">
      <c r="AI191" s="297"/>
    </row>
    <row r="192" spans="35:35">
      <c r="AI192" s="297"/>
    </row>
    <row r="193" spans="35:35">
      <c r="AI193" s="297"/>
    </row>
    <row r="194" spans="35:35">
      <c r="AI194" s="297"/>
    </row>
    <row r="195" spans="35:35">
      <c r="AI195" s="297"/>
    </row>
    <row r="196" spans="35:35">
      <c r="AI196" s="297"/>
    </row>
    <row r="197" spans="35:35">
      <c r="AI197" s="297"/>
    </row>
    <row r="198" spans="35:35">
      <c r="AI198" s="297"/>
    </row>
    <row r="199" spans="35:35">
      <c r="AI199" s="297"/>
    </row>
    <row r="200" spans="35:35">
      <c r="AI200" s="297"/>
    </row>
    <row r="201" spans="35:35">
      <c r="AI201" s="297"/>
    </row>
    <row r="202" spans="35:35">
      <c r="AI202" s="297"/>
    </row>
    <row r="203" spans="35:35">
      <c r="AI203" s="297"/>
    </row>
    <row r="204" spans="35:35">
      <c r="AI204" s="297"/>
    </row>
    <row r="205" spans="35:35">
      <c r="AI205" s="297"/>
    </row>
    <row r="206" spans="35:35">
      <c r="AI206" s="297"/>
    </row>
    <row r="207" spans="35:35">
      <c r="AI207" s="297"/>
    </row>
    <row r="208" spans="35:35">
      <c r="AI208" s="297"/>
    </row>
    <row r="209" spans="35:35">
      <c r="AI209" s="297"/>
    </row>
    <row r="210" spans="35:35">
      <c r="AI210" s="297"/>
    </row>
    <row r="211" spans="35:35">
      <c r="AI211" s="297"/>
    </row>
    <row r="212" spans="35:35">
      <c r="AI212" s="297"/>
    </row>
    <row r="213" spans="35:35">
      <c r="AI213" s="297"/>
    </row>
    <row r="214" spans="35:35">
      <c r="AI214" s="297"/>
    </row>
    <row r="215" spans="35:35">
      <c r="AI215" s="297"/>
    </row>
    <row r="216" spans="35:35">
      <c r="AI216" s="297"/>
    </row>
    <row r="217" spans="35:35">
      <c r="AI217" s="297"/>
    </row>
    <row r="218" spans="35:35">
      <c r="AI218" s="297"/>
    </row>
    <row r="219" spans="35:35">
      <c r="AI219" s="297"/>
    </row>
    <row r="220" spans="35:35">
      <c r="AI220" s="297"/>
    </row>
    <row r="221" spans="35:35">
      <c r="AI221" s="297"/>
    </row>
    <row r="222" spans="35:35">
      <c r="AI222" s="297"/>
    </row>
    <row r="223" spans="35:35">
      <c r="AI223" s="297"/>
    </row>
    <row r="224" spans="35:35">
      <c r="AI224" s="297"/>
    </row>
    <row r="225" spans="35:35">
      <c r="AI225" s="297"/>
    </row>
    <row r="226" spans="35:35">
      <c r="AI226" s="297"/>
    </row>
    <row r="227" spans="35:35">
      <c r="AI227" s="297"/>
    </row>
    <row r="228" spans="35:35">
      <c r="AI228" s="297"/>
    </row>
    <row r="229" spans="35:35">
      <c r="AI229" s="297"/>
    </row>
    <row r="230" spans="35:35">
      <c r="AI230" s="297"/>
    </row>
    <row r="231" spans="35:35">
      <c r="AI231" s="297"/>
    </row>
    <row r="232" spans="35:35">
      <c r="AI232" s="297"/>
    </row>
    <row r="233" spans="35:35">
      <c r="AI233" s="297"/>
    </row>
    <row r="234" spans="35:35">
      <c r="AI234" s="297"/>
    </row>
    <row r="235" spans="35:35">
      <c r="AI235" s="297"/>
    </row>
    <row r="236" spans="35:35">
      <c r="AI236" s="297"/>
    </row>
    <row r="237" spans="35:35">
      <c r="AI237" s="297"/>
    </row>
    <row r="238" spans="35:35">
      <c r="AI238" s="297"/>
    </row>
    <row r="239" spans="35:35">
      <c r="AI239" s="297"/>
    </row>
    <row r="240" spans="35:35">
      <c r="AI240" s="297"/>
    </row>
    <row r="241" spans="35:35">
      <c r="AI241" s="297"/>
    </row>
    <row r="242" spans="35:35">
      <c r="AI242" s="297"/>
    </row>
    <row r="243" spans="35:35">
      <c r="AI243" s="297"/>
    </row>
    <row r="244" spans="35:35">
      <c r="AI244" s="297"/>
    </row>
    <row r="245" spans="35:35">
      <c r="AI245" s="297"/>
    </row>
    <row r="246" spans="35:35">
      <c r="AI246" s="297"/>
    </row>
    <row r="247" spans="35:35">
      <c r="AI247" s="297"/>
    </row>
    <row r="248" spans="35:35">
      <c r="AI248" s="297"/>
    </row>
    <row r="249" spans="35:35">
      <c r="AI249" s="297"/>
    </row>
    <row r="250" spans="35:35">
      <c r="AI250" s="297"/>
    </row>
    <row r="251" spans="35:35">
      <c r="AI251" s="297"/>
    </row>
    <row r="252" spans="35:35">
      <c r="AI252" s="297"/>
    </row>
    <row r="253" spans="35:35">
      <c r="AI253" s="297"/>
    </row>
    <row r="254" spans="35:35">
      <c r="AI254" s="297"/>
    </row>
    <row r="255" spans="35:35">
      <c r="AI255" s="297"/>
    </row>
    <row r="256" spans="35:35">
      <c r="AI256" s="297"/>
    </row>
    <row r="257" spans="35:35">
      <c r="AI257" s="297"/>
    </row>
    <row r="258" spans="35:35">
      <c r="AI258" s="297"/>
    </row>
    <row r="259" spans="35:35">
      <c r="AI259" s="297"/>
    </row>
    <row r="260" spans="35:35">
      <c r="AI260" s="297"/>
    </row>
    <row r="261" spans="35:35">
      <c r="AI261" s="297"/>
    </row>
    <row r="262" spans="35:35">
      <c r="AI262" s="297"/>
    </row>
    <row r="263" spans="35:35">
      <c r="AI263" s="297"/>
    </row>
    <row r="264" spans="35:35">
      <c r="AI264" s="297"/>
    </row>
    <row r="265" spans="35:35">
      <c r="AI265" s="297"/>
    </row>
    <row r="266" spans="35:35">
      <c r="AI266" s="297"/>
    </row>
    <row r="267" spans="35:35">
      <c r="AI267" s="297"/>
    </row>
    <row r="268" spans="35:35">
      <c r="AI268" s="297"/>
    </row>
    <row r="269" spans="35:35">
      <c r="AI269" s="297"/>
    </row>
    <row r="270" spans="35:35">
      <c r="AI270" s="297"/>
    </row>
    <row r="271" spans="35:35">
      <c r="AI271" s="297"/>
    </row>
    <row r="272" spans="35:35">
      <c r="AI272" s="297"/>
    </row>
    <row r="273" spans="35:35">
      <c r="AI273" s="297"/>
    </row>
    <row r="274" spans="35:35">
      <c r="AI274" s="297"/>
    </row>
    <row r="275" spans="35:35">
      <c r="AI275" s="297"/>
    </row>
    <row r="276" spans="35:35">
      <c r="AI276" s="297"/>
    </row>
    <row r="277" spans="35:35">
      <c r="AI277" s="297"/>
    </row>
    <row r="278" spans="35:35">
      <c r="AI278" s="297"/>
    </row>
    <row r="279" spans="35:35">
      <c r="AI279" s="297"/>
    </row>
    <row r="280" spans="35:35">
      <c r="AI280" s="297"/>
    </row>
    <row r="281" spans="35:35">
      <c r="AI281" s="297"/>
    </row>
    <row r="282" spans="35:35">
      <c r="AI282" s="297"/>
    </row>
    <row r="283" spans="35:35">
      <c r="AI283" s="297"/>
    </row>
    <row r="284" spans="35:35">
      <c r="AI284" s="297"/>
    </row>
    <row r="285" spans="35:35">
      <c r="AI285" s="297"/>
    </row>
    <row r="286" spans="35:35">
      <c r="AI286" s="297"/>
    </row>
    <row r="287" spans="35:35">
      <c r="AI287" s="297"/>
    </row>
    <row r="288" spans="35:35">
      <c r="AI288" s="297"/>
    </row>
    <row r="289" spans="35:35">
      <c r="AI289" s="297"/>
    </row>
    <row r="290" spans="35:35">
      <c r="AI290" s="297"/>
    </row>
    <row r="291" spans="35:35">
      <c r="AI291" s="297"/>
    </row>
    <row r="292" spans="35:35">
      <c r="AI292" s="297"/>
    </row>
    <row r="293" spans="35:35">
      <c r="AI293" s="297"/>
    </row>
    <row r="294" spans="35:35">
      <c r="AI294" s="297"/>
    </row>
    <row r="295" spans="35:35">
      <c r="AI295" s="297"/>
    </row>
    <row r="296" spans="35:35">
      <c r="AI296" s="297"/>
    </row>
    <row r="297" spans="35:35">
      <c r="AI297" s="297"/>
    </row>
    <row r="298" spans="35:35">
      <c r="AI298" s="297"/>
    </row>
    <row r="299" spans="35:35">
      <c r="AI299" s="297"/>
    </row>
    <row r="300" spans="35:35">
      <c r="AI300" s="297"/>
    </row>
    <row r="301" spans="35:35">
      <c r="AI301" s="297"/>
    </row>
    <row r="302" spans="35:35">
      <c r="AI302" s="297"/>
    </row>
    <row r="303" spans="35:35">
      <c r="AI303" s="297"/>
    </row>
    <row r="304" spans="35:35">
      <c r="AI304" s="297"/>
    </row>
    <row r="305" spans="35:35">
      <c r="AI305" s="297"/>
    </row>
    <row r="306" spans="35:35">
      <c r="AI306" s="297"/>
    </row>
    <row r="307" spans="35:35">
      <c r="AI307" s="297"/>
    </row>
    <row r="308" spans="35:35">
      <c r="AI308" s="297"/>
    </row>
    <row r="309" spans="35:35">
      <c r="AI309" s="297"/>
    </row>
    <row r="310" spans="35:35">
      <c r="AI310" s="297"/>
    </row>
    <row r="311" spans="35:35">
      <c r="AI311" s="297"/>
    </row>
    <row r="312" spans="35:35">
      <c r="AI312" s="297"/>
    </row>
    <row r="313" spans="35:35">
      <c r="AI313" s="297"/>
    </row>
    <row r="314" spans="35:35">
      <c r="AI314" s="297"/>
    </row>
    <row r="315" spans="35:35">
      <c r="AI315" s="297"/>
    </row>
    <row r="316" spans="35:35">
      <c r="AI316" s="297"/>
    </row>
    <row r="317" spans="35:35">
      <c r="AI317" s="297"/>
    </row>
    <row r="318" spans="35:35">
      <c r="AI318" s="297"/>
    </row>
    <row r="319" spans="35:35">
      <c r="AI319" s="297"/>
    </row>
    <row r="320" spans="35:35">
      <c r="AI320" s="297"/>
    </row>
    <row r="321" spans="35:35">
      <c r="AI321" s="297"/>
    </row>
    <row r="322" spans="35:35">
      <c r="AI322" s="297"/>
    </row>
    <row r="323" spans="35:35">
      <c r="AI323" s="297"/>
    </row>
    <row r="324" spans="35:35">
      <c r="AI324" s="297"/>
    </row>
    <row r="325" spans="35:35">
      <c r="AI325" s="297"/>
    </row>
    <row r="326" spans="35:35">
      <c r="AI326" s="297"/>
    </row>
    <row r="327" spans="35:35">
      <c r="AI327" s="297"/>
    </row>
    <row r="328" spans="35:35">
      <c r="AI328" s="297"/>
    </row>
    <row r="329" spans="35:35">
      <c r="AI329" s="297"/>
    </row>
    <row r="330" spans="35:35">
      <c r="AI330" s="297"/>
    </row>
    <row r="331" spans="35:35">
      <c r="AI331" s="297"/>
    </row>
    <row r="332" spans="35:35">
      <c r="AI332" s="297"/>
    </row>
    <row r="333" spans="35:35">
      <c r="AI333" s="297"/>
    </row>
    <row r="334" spans="35:35">
      <c r="AI334" s="297"/>
    </row>
    <row r="335" spans="35:35">
      <c r="AI335" s="297"/>
    </row>
    <row r="336" spans="35:35">
      <c r="AI336" s="297"/>
    </row>
    <row r="337" spans="35:35">
      <c r="AI337" s="297"/>
    </row>
    <row r="338" spans="35:35">
      <c r="AI338" s="297"/>
    </row>
    <row r="339" spans="35:35">
      <c r="AI339" s="297"/>
    </row>
    <row r="340" spans="35:35">
      <c r="AI340" s="297"/>
    </row>
    <row r="341" spans="35:35">
      <c r="AI341" s="297"/>
    </row>
    <row r="342" spans="35:35">
      <c r="AI342" s="297"/>
    </row>
    <row r="343" spans="35:35">
      <c r="AI343" s="297"/>
    </row>
    <row r="344" spans="35:35">
      <c r="AI344" s="297"/>
    </row>
    <row r="345" spans="35:35">
      <c r="AI345" s="297"/>
    </row>
    <row r="346" spans="35:35">
      <c r="AI346" s="297"/>
    </row>
    <row r="347" spans="35:35">
      <c r="AI347" s="297"/>
    </row>
    <row r="348" spans="35:35">
      <c r="AI348" s="297"/>
    </row>
    <row r="349" spans="35:35">
      <c r="AI349" s="297"/>
    </row>
    <row r="350" spans="35:35">
      <c r="AI350" s="297"/>
    </row>
    <row r="351" spans="35:35">
      <c r="AI351" s="297"/>
    </row>
    <row r="352" spans="35:35">
      <c r="AI352" s="297"/>
    </row>
    <row r="353" spans="35:35">
      <c r="AI353" s="297"/>
    </row>
    <row r="354" spans="35:35">
      <c r="AI354" s="297"/>
    </row>
    <row r="355" spans="35:35">
      <c r="AI355" s="297"/>
    </row>
    <row r="356" spans="35:35">
      <c r="AI356" s="297"/>
    </row>
    <row r="357" spans="35:35">
      <c r="AI357" s="297"/>
    </row>
    <row r="358" spans="35:35">
      <c r="AI358" s="297"/>
    </row>
    <row r="359" spans="35:35">
      <c r="AI359" s="297"/>
    </row>
    <row r="360" spans="35:35">
      <c r="AI360" s="297"/>
    </row>
    <row r="361" spans="35:35">
      <c r="AI361" s="297"/>
    </row>
    <row r="362" spans="35:35">
      <c r="AI362" s="297"/>
    </row>
    <row r="363" spans="35:35">
      <c r="AI363" s="297"/>
    </row>
    <row r="364" spans="35:35">
      <c r="AI364" s="297"/>
    </row>
    <row r="365" spans="35:35">
      <c r="AI365" s="297"/>
    </row>
    <row r="366" spans="35:35">
      <c r="AI366" s="297"/>
    </row>
    <row r="367" spans="35:35">
      <c r="AI367" s="297"/>
    </row>
    <row r="368" spans="35:35">
      <c r="AI368" s="297"/>
    </row>
    <row r="369" spans="35:35">
      <c r="AI369" s="297"/>
    </row>
    <row r="370" spans="35:35">
      <c r="AI370" s="297"/>
    </row>
    <row r="371" spans="35:35">
      <c r="AI371" s="297"/>
    </row>
    <row r="372" spans="35:35">
      <c r="AI372" s="297"/>
    </row>
    <row r="373" spans="35:35">
      <c r="AI373" s="297"/>
    </row>
    <row r="374" spans="35:35">
      <c r="AI374" s="297"/>
    </row>
    <row r="375" spans="35:35">
      <c r="AI375" s="297"/>
    </row>
    <row r="376" spans="35:35">
      <c r="AI376" s="297"/>
    </row>
    <row r="377" spans="35:35">
      <c r="AI377" s="297"/>
    </row>
    <row r="378" spans="35:35">
      <c r="AI378" s="297"/>
    </row>
    <row r="379" spans="35:35">
      <c r="AI379" s="297"/>
    </row>
    <row r="380" spans="35:35">
      <c r="AI380" s="297"/>
    </row>
    <row r="381" spans="35:35">
      <c r="AI381" s="297"/>
    </row>
    <row r="382" spans="35:35">
      <c r="AI382" s="297"/>
    </row>
    <row r="383" spans="35:35">
      <c r="AI383" s="297"/>
    </row>
    <row r="384" spans="35:35">
      <c r="AI384" s="297"/>
    </row>
    <row r="385" spans="35:35">
      <c r="AI385" s="297"/>
    </row>
    <row r="386" spans="35:35">
      <c r="AI386" s="297"/>
    </row>
    <row r="387" spans="35:35">
      <c r="AI387" s="297"/>
    </row>
    <row r="388" spans="35:35">
      <c r="AI388" s="297"/>
    </row>
    <row r="389" spans="35:35">
      <c r="AI389" s="297"/>
    </row>
    <row r="390" spans="35:35">
      <c r="AI390" s="297"/>
    </row>
    <row r="391" spans="35:35">
      <c r="AI391" s="297"/>
    </row>
    <row r="392" spans="35:35">
      <c r="AI392" s="297"/>
    </row>
    <row r="393" spans="35:35">
      <c r="AI393" s="297"/>
    </row>
    <row r="394" spans="35:35">
      <c r="AI394" s="297"/>
    </row>
    <row r="395" spans="35:35">
      <c r="AI395" s="297"/>
    </row>
    <row r="396" spans="35:35">
      <c r="AI396" s="297"/>
    </row>
    <row r="397" spans="35:35">
      <c r="AI397" s="297"/>
    </row>
    <row r="398" spans="35:35">
      <c r="AI398" s="297"/>
    </row>
    <row r="399" spans="35:35">
      <c r="AI399" s="297"/>
    </row>
    <row r="400" spans="35:35">
      <c r="AI400" s="297"/>
    </row>
    <row r="401" spans="35:35">
      <c r="AI401" s="297"/>
    </row>
    <row r="402" spans="35:35">
      <c r="AI402" s="297"/>
    </row>
    <row r="403" spans="35:35">
      <c r="AI403" s="297"/>
    </row>
    <row r="404" spans="35:35">
      <c r="AI404" s="297"/>
    </row>
    <row r="405" spans="35:35">
      <c r="AI405" s="297"/>
    </row>
    <row r="406" spans="35:35">
      <c r="AI406" s="297"/>
    </row>
    <row r="407" spans="35:35">
      <c r="AI407" s="297"/>
    </row>
    <row r="408" spans="35:35">
      <c r="AI408" s="297"/>
    </row>
    <row r="409" spans="35:35">
      <c r="AI409" s="297"/>
    </row>
    <row r="410" spans="35:35">
      <c r="AI410" s="297"/>
    </row>
    <row r="411" spans="35:35">
      <c r="AI411" s="297"/>
    </row>
    <row r="412" spans="35:35">
      <c r="AI412" s="297"/>
    </row>
    <row r="413" spans="35:35">
      <c r="AI413" s="297"/>
    </row>
    <row r="414" spans="35:35">
      <c r="AI414" s="297"/>
    </row>
    <row r="415" spans="35:35">
      <c r="AI415" s="297"/>
    </row>
    <row r="416" spans="35:35">
      <c r="AI416" s="297"/>
    </row>
    <row r="417" spans="35:35">
      <c r="AI417" s="297"/>
    </row>
    <row r="418" spans="35:35">
      <c r="AI418" s="297"/>
    </row>
    <row r="419" spans="35:35">
      <c r="AI419" s="297"/>
    </row>
    <row r="420" spans="35:35">
      <c r="AI420" s="297"/>
    </row>
    <row r="421" spans="35:35">
      <c r="AI421" s="297"/>
    </row>
    <row r="422" spans="35:35">
      <c r="AI422" s="297"/>
    </row>
    <row r="423" spans="35:35">
      <c r="AI423" s="297"/>
    </row>
    <row r="424" spans="35:35">
      <c r="AI424" s="297"/>
    </row>
    <row r="425" spans="35:35">
      <c r="AI425" s="297"/>
    </row>
    <row r="426" spans="35:35">
      <c r="AI426" s="297"/>
    </row>
    <row r="427" spans="35:35">
      <c r="AI427" s="297"/>
    </row>
    <row r="428" spans="35:35">
      <c r="AI428" s="297"/>
    </row>
    <row r="429" spans="35:35">
      <c r="AI429" s="297"/>
    </row>
    <row r="430" spans="35:35">
      <c r="AI430" s="297"/>
    </row>
    <row r="431" spans="35:35">
      <c r="AI431" s="297"/>
    </row>
    <row r="432" spans="35:35">
      <c r="AI432" s="297"/>
    </row>
    <row r="433" spans="1:35">
      <c r="AI433" s="297"/>
    </row>
    <row r="434" spans="1:35">
      <c r="AI434" s="297"/>
    </row>
    <row r="435" spans="1:35">
      <c r="A435" s="297"/>
      <c r="B435" s="297"/>
      <c r="C435" s="297"/>
      <c r="D435" s="297"/>
      <c r="E435" s="297"/>
      <c r="F435" s="297"/>
      <c r="G435" s="297"/>
      <c r="H435" s="297"/>
      <c r="I435" s="297"/>
      <c r="J435" s="297"/>
      <c r="K435" s="297"/>
      <c r="L435" s="297"/>
      <c r="M435" s="297"/>
      <c r="N435" s="297"/>
      <c r="O435" s="297"/>
      <c r="P435" s="297"/>
      <c r="Q435" s="297"/>
      <c r="R435" s="297"/>
      <c r="S435" s="297"/>
      <c r="T435" s="297"/>
      <c r="U435" s="297"/>
      <c r="V435" s="297"/>
      <c r="W435" s="297"/>
      <c r="X435" s="297"/>
      <c r="Y435" s="297"/>
      <c r="Z435" s="297"/>
      <c r="AA435" s="297"/>
      <c r="AB435" s="297"/>
      <c r="AC435" s="297"/>
      <c r="AD435" s="297"/>
      <c r="AE435" s="297"/>
      <c r="AF435" s="297"/>
      <c r="AG435" s="297"/>
      <c r="AH435" s="297"/>
      <c r="AI435" s="297"/>
    </row>
  </sheetData>
  <phoneticPr fontId="3" type="noConversion"/>
  <printOptions horizontalCentered="1"/>
  <pageMargins left="0" right="0" top="0.5" bottom="0" header="0.5" footer="0.5"/>
  <pageSetup fitToHeight="3" orientation="landscape" useFirstPageNumber="1" horizontalDpi="4294967292" verticalDpi="4294967292" r:id="rId1"/>
  <headerFooter alignWithMargins="0">
    <oddFooter>&amp;R&amp;"MS Serif,Bold"&amp;8Page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3:AM65"/>
  <sheetViews>
    <sheetView showGridLines="0" zoomScale="130" zoomScaleNormal="130" workbookViewId="0">
      <selection activeCell="L32" sqref="L32"/>
    </sheetView>
  </sheetViews>
  <sheetFormatPr defaultColWidth="11.21875" defaultRowHeight="9" outlineLevelRow="1"/>
  <cols>
    <col min="1" max="1" width="11.21875" style="194"/>
    <col min="2" max="2" width="21.44140625" style="194" customWidth="1"/>
    <col min="3" max="3" width="11.21875" style="194"/>
    <col min="4" max="4" width="15.77734375" style="194" bestFit="1" customWidth="1"/>
    <col min="5" max="30" width="11.21875" style="194"/>
    <col min="31" max="31" width="30.21875" style="194" customWidth="1"/>
    <col min="32" max="33" width="11.21875" style="194"/>
    <col min="34" max="34" width="13.44140625" style="194" customWidth="1"/>
    <col min="35" max="16384" width="11.21875" style="194"/>
  </cols>
  <sheetData>
    <row r="3" spans="2:8" ht="17.649999999999999">
      <c r="B3" s="335" t="s">
        <v>377</v>
      </c>
    </row>
    <row r="4" spans="2:8" ht="13.15">
      <c r="B4" s="379" t="s">
        <v>378</v>
      </c>
    </row>
    <row r="7" spans="2:8">
      <c r="B7" s="659"/>
      <c r="C7" s="660"/>
      <c r="D7" s="661">
        <f>YEAR(Assumptions!$I$9)</f>
        <v>2019</v>
      </c>
      <c r="E7" s="661">
        <f>D7+1</f>
        <v>2020</v>
      </c>
      <c r="F7" s="661">
        <f t="shared" ref="F7:H7" si="0">E7+1</f>
        <v>2021</v>
      </c>
      <c r="G7" s="661">
        <f t="shared" si="0"/>
        <v>2022</v>
      </c>
      <c r="H7" s="661">
        <f t="shared" si="0"/>
        <v>2023</v>
      </c>
    </row>
    <row r="8" spans="2:8">
      <c r="B8" s="641" t="s">
        <v>379</v>
      </c>
      <c r="C8" s="641" t="s">
        <v>499</v>
      </c>
      <c r="D8" s="658">
        <f>COGS!D23/1000000</f>
        <v>0.35249999999999998</v>
      </c>
      <c r="E8" s="658">
        <f>COGS!E23/1000000</f>
        <v>3.3931140000000002</v>
      </c>
      <c r="F8" s="658">
        <f>COGS!F23/1000000</f>
        <v>10.08339</v>
      </c>
      <c r="G8" s="658">
        <f>COGS!G23/1000000</f>
        <v>14.622429</v>
      </c>
      <c r="H8" s="658">
        <f>COGS!H23/1000000</f>
        <v>19.419027</v>
      </c>
    </row>
    <row r="9" spans="2:8" outlineLevel="1">
      <c r="B9" s="641" t="s">
        <v>405</v>
      </c>
      <c r="C9" s="641" t="s">
        <v>382</v>
      </c>
      <c r="D9" s="642">
        <f>-D12/D8</f>
        <v>0.5736342127659575</v>
      </c>
      <c r="E9" s="642">
        <f t="shared" ref="E9:H9" si="1">-E12/E8</f>
        <v>0.49484595860911246</v>
      </c>
      <c r="F9" s="642">
        <f t="shared" si="1"/>
        <v>0.35551765775200606</v>
      </c>
      <c r="G9" s="642">
        <f t="shared" si="1"/>
        <v>0.34662981307688356</v>
      </c>
      <c r="H9" s="642">
        <f t="shared" si="1"/>
        <v>0.33774186904421116</v>
      </c>
    </row>
    <row r="10" spans="2:8">
      <c r="B10" s="641"/>
      <c r="C10" s="641"/>
      <c r="D10" s="641"/>
      <c r="E10" s="641"/>
      <c r="F10" s="641"/>
      <c r="G10" s="641"/>
      <c r="H10" s="641"/>
    </row>
    <row r="11" spans="2:8">
      <c r="B11" s="643" t="s">
        <v>189</v>
      </c>
      <c r="C11" s="643" t="s">
        <v>485</v>
      </c>
      <c r="D11" s="644">
        <f>'Summary Statements'!C17/1000000</f>
        <v>0.37012499999999998</v>
      </c>
      <c r="E11" s="644">
        <f>'Summary Statements'!D17/1000000</f>
        <v>4.327968750000001</v>
      </c>
      <c r="F11" s="644">
        <f>'Summary Statements'!E17/1000000</f>
        <v>10.587559499999999</v>
      </c>
      <c r="G11" s="644">
        <f>'Summary Statements'!F17/1000000</f>
        <v>15.353550450000002</v>
      </c>
      <c r="H11" s="644">
        <f>'Summary Statements'!G17/1000000</f>
        <v>20.38997835</v>
      </c>
    </row>
    <row r="12" spans="2:8">
      <c r="B12" s="645" t="s">
        <v>317</v>
      </c>
      <c r="C12" s="641" t="s">
        <v>485</v>
      </c>
      <c r="D12" s="646">
        <f>-Details!R140/1000000</f>
        <v>-0.20220605999999999</v>
      </c>
      <c r="E12" s="646">
        <f>-Details!AE140/1000000</f>
        <v>-1.6790687500000001</v>
      </c>
      <c r="F12" s="646">
        <f>-Details!AF140/1000000</f>
        <v>-3.5848231950000002</v>
      </c>
      <c r="G12" s="646">
        <f>-Details!AG140/1000000</f>
        <v>-5.0685698310000014</v>
      </c>
      <c r="H12" s="646">
        <f>-Details!AH140/1000000</f>
        <v>-6.5586184740000002</v>
      </c>
    </row>
    <row r="13" spans="2:8">
      <c r="B13" s="647" t="s">
        <v>380</v>
      </c>
      <c r="C13" s="643" t="s">
        <v>485</v>
      </c>
      <c r="D13" s="644">
        <f>(-'Summary Statements'!C23/1000000)-D12</f>
        <v>-0.44232041666666677</v>
      </c>
      <c r="E13" s="644">
        <f ca="1">(-'Summary Statements'!D23/1000000)-E12</f>
        <v>-2.6793442499999998</v>
      </c>
      <c r="F13" s="644">
        <f>(-'Summary Statements'!E23/1000000)-F12</f>
        <v>-5.1612990466666666</v>
      </c>
      <c r="G13" s="644">
        <f>(-'Summary Statements'!F23/1000000)-G12</f>
        <v>-6.9383305513333333</v>
      </c>
      <c r="H13" s="644">
        <f>(-'Summary Statements'!G23/1000000)-H12</f>
        <v>-9.7605435953333348</v>
      </c>
    </row>
    <row r="14" spans="2:8" ht="4.8" customHeight="1">
      <c r="B14" s="648"/>
      <c r="C14" s="649"/>
      <c r="D14" s="650"/>
      <c r="E14" s="650"/>
      <c r="F14" s="650"/>
      <c r="G14" s="650"/>
      <c r="H14" s="650"/>
    </row>
    <row r="15" spans="2:8">
      <c r="B15" s="651" t="s">
        <v>381</v>
      </c>
      <c r="C15" s="651" t="s">
        <v>485</v>
      </c>
      <c r="D15" s="652">
        <f>'Summary Statements'!C25/1000000</f>
        <v>-0.2744014766666667</v>
      </c>
      <c r="E15" s="652">
        <f ca="1">'Summary Statements'!D25/1000000</f>
        <v>-3.0444249999999069E-2</v>
      </c>
      <c r="F15" s="652">
        <f>'Summary Statements'!E25/1000000</f>
        <v>1.8414372583333329</v>
      </c>
      <c r="G15" s="652">
        <f>'Summary Statements'!F25/1000000</f>
        <v>3.3466500676666664</v>
      </c>
      <c r="H15" s="652">
        <f>'Summary Statements'!G25/1000000</f>
        <v>4.0708162806666683</v>
      </c>
    </row>
    <row r="16" spans="2:8">
      <c r="B16" s="653" t="s">
        <v>517</v>
      </c>
      <c r="C16" s="653" t="s">
        <v>344</v>
      </c>
      <c r="D16" s="654">
        <f>D15/D11</f>
        <v>-0.74137514803557369</v>
      </c>
      <c r="E16" s="654">
        <f ca="1">E15/E11</f>
        <v>-7.0343044875264089E-3</v>
      </c>
      <c r="F16" s="654">
        <f>F15/F11</f>
        <v>0.17392461958143735</v>
      </c>
      <c r="G16" s="654">
        <f>G15/G11</f>
        <v>0.21797238876866204</v>
      </c>
      <c r="H16" s="654">
        <f>H15/H11</f>
        <v>0.1996478961767347</v>
      </c>
    </row>
    <row r="17" spans="2:8" ht="4.8" customHeight="1">
      <c r="B17" s="641"/>
      <c r="C17" s="641"/>
      <c r="D17" s="641"/>
      <c r="E17" s="641"/>
      <c r="F17" s="641"/>
      <c r="G17" s="641"/>
      <c r="H17" s="641"/>
    </row>
    <row r="18" spans="2:8">
      <c r="B18" s="641" t="s">
        <v>408</v>
      </c>
      <c r="C18" s="641" t="s">
        <v>485</v>
      </c>
      <c r="D18" s="646">
        <f ca="1">'Summary Statements'!C33/1000000</f>
        <v>-0.2744014766666667</v>
      </c>
      <c r="E18" s="646">
        <f ca="1">'Summary Statements'!D33/1000000</f>
        <v>-3.0444249999999069E-2</v>
      </c>
      <c r="F18" s="646">
        <f ca="1">'Summary Statements'!E33/1000000</f>
        <v>1.226800645666666</v>
      </c>
      <c r="G18" s="646">
        <f ca="1">'Summary Statements'!F33/1000000</f>
        <v>2.0079900405999997</v>
      </c>
      <c r="H18" s="646">
        <f ca="1">'Summary Statements'!G33/1000000</f>
        <v>2.4424897684000002</v>
      </c>
    </row>
    <row r="19" spans="2:8">
      <c r="B19" s="655" t="s">
        <v>516</v>
      </c>
      <c r="C19" s="656" t="s">
        <v>344</v>
      </c>
      <c r="D19" s="657">
        <f ca="1">D18/D11</f>
        <v>-0.74137514803557369</v>
      </c>
      <c r="E19" s="657">
        <f ca="1">E18/E11</f>
        <v>-7.0343044875264089E-3</v>
      </c>
      <c r="F19" s="657">
        <f ca="1">F18/F11</f>
        <v>0.11587190094815204</v>
      </c>
      <c r="G19" s="657">
        <f ca="1">G18/G11</f>
        <v>0.13078343326119721</v>
      </c>
      <c r="H19" s="657">
        <f ca="1">H18/H11</f>
        <v>0.11978873770604079</v>
      </c>
    </row>
    <row r="24" spans="2:8">
      <c r="B24" s="403"/>
    </row>
    <row r="25" spans="2:8">
      <c r="B25" s="403"/>
    </row>
    <row r="36" spans="2:39">
      <c r="B36" s="329"/>
      <c r="C36" s="330"/>
      <c r="D36" s="600">
        <f>Details!F1</f>
        <v>43466</v>
      </c>
      <c r="E36" s="600">
        <f>Details!G1</f>
        <v>43497</v>
      </c>
      <c r="F36" s="600">
        <f>Details!H1</f>
        <v>43528</v>
      </c>
      <c r="G36" s="600">
        <f>Details!I1</f>
        <v>43559</v>
      </c>
      <c r="H36" s="600">
        <f>Details!J1</f>
        <v>43590</v>
      </c>
      <c r="I36" s="600">
        <f>Details!K1</f>
        <v>43621</v>
      </c>
      <c r="J36" s="600">
        <f>Details!L1</f>
        <v>43652</v>
      </c>
      <c r="K36" s="600">
        <f>Details!M1</f>
        <v>43683</v>
      </c>
      <c r="L36" s="600">
        <f>Details!N1</f>
        <v>43714</v>
      </c>
      <c r="M36" s="600">
        <f>Details!O1</f>
        <v>43745</v>
      </c>
      <c r="N36" s="600">
        <f>Details!P1</f>
        <v>43776</v>
      </c>
      <c r="O36" s="600">
        <f>Details!Q1</f>
        <v>43807</v>
      </c>
      <c r="P36" s="600">
        <f>Details!S1</f>
        <v>43838</v>
      </c>
      <c r="Q36" s="600">
        <f>Details!T1</f>
        <v>43869</v>
      </c>
      <c r="R36" s="600">
        <f>Details!U1</f>
        <v>43900</v>
      </c>
      <c r="S36" s="600">
        <f>Details!V1</f>
        <v>43931</v>
      </c>
      <c r="T36" s="600">
        <f>Details!W1</f>
        <v>43962</v>
      </c>
      <c r="U36" s="600">
        <f>Details!X1</f>
        <v>43993</v>
      </c>
      <c r="V36" s="600">
        <f>Details!Y1</f>
        <v>44024</v>
      </c>
      <c r="W36" s="600">
        <f>Details!Z1</f>
        <v>44055</v>
      </c>
      <c r="X36" s="600">
        <f>Details!AA1</f>
        <v>44086</v>
      </c>
      <c r="Y36" s="600">
        <f>Details!AB1</f>
        <v>44117</v>
      </c>
      <c r="Z36" s="600">
        <f>Details!AC1</f>
        <v>44148</v>
      </c>
      <c r="AA36" s="600">
        <f>Details!AD1</f>
        <v>44179</v>
      </c>
      <c r="AE36" s="329"/>
      <c r="AF36" s="330"/>
      <c r="AG36" s="330"/>
      <c r="AH36" s="327">
        <f>YEAR(Assumptions!$I$9)</f>
        <v>2019</v>
      </c>
      <c r="AI36" s="327">
        <f>AH36+1</f>
        <v>2020</v>
      </c>
      <c r="AJ36" s="327">
        <f t="shared" ref="AJ36" si="2">AI36+1</f>
        <v>2021</v>
      </c>
      <c r="AK36" s="327">
        <f t="shared" ref="AK36" si="3">AJ36+1</f>
        <v>2022</v>
      </c>
      <c r="AL36" s="327">
        <f t="shared" ref="AL36" si="4">AK36+1</f>
        <v>2023</v>
      </c>
    </row>
    <row r="37" spans="2:39">
      <c r="B37" s="194" t="s">
        <v>381</v>
      </c>
      <c r="D37" s="194">
        <f>Details!F152</f>
        <v>-7509.166666666667</v>
      </c>
      <c r="E37" s="194">
        <f>Details!G152</f>
        <v>-7509.166666666667</v>
      </c>
      <c r="F37" s="194">
        <f>Details!H152</f>
        <v>-22509.166666666664</v>
      </c>
      <c r="G37" s="194">
        <f>Details!I152</f>
        <v>-20337.336666666662</v>
      </c>
      <c r="H37" s="194">
        <f>Details!J152</f>
        <v>-14251.426666666666</v>
      </c>
      <c r="I37" s="194">
        <f>Details!K152</f>
        <v>-34223.42333333334</v>
      </c>
      <c r="J37" s="194">
        <f>Details!L152</f>
        <v>-38137.513333333336</v>
      </c>
      <c r="K37" s="194">
        <f>Details!M152</f>
        <v>-26192.453333333338</v>
      </c>
      <c r="L37" s="194">
        <f>Details!N152</f>
        <v>-25106.533333333326</v>
      </c>
      <c r="M37" s="194">
        <f>Details!O152</f>
        <v>-34020.623333333322</v>
      </c>
      <c r="N37" s="194">
        <f>Details!P152</f>
        <v>-34474.16333333333</v>
      </c>
      <c r="O37" s="194">
        <f>Details!Q152</f>
        <v>-10130.503333333327</v>
      </c>
      <c r="P37" s="194">
        <f ca="1">Details!S152</f>
        <v>-75971.496666666644</v>
      </c>
      <c r="Q37" s="194">
        <f ca="1">Details!T152</f>
        <v>-80691.400000000023</v>
      </c>
      <c r="R37" s="194">
        <f ca="1">Details!U152</f>
        <v>-96348.399333333335</v>
      </c>
      <c r="S37" s="194">
        <f ca="1">Details!V152</f>
        <v>-86434.839333333337</v>
      </c>
      <c r="T37" s="194">
        <f ca="1">Details!W152</f>
        <v>-44738.305333333294</v>
      </c>
      <c r="U37" s="194">
        <f ca="1">Details!X152</f>
        <v>-30935.995333333325</v>
      </c>
      <c r="V37" s="194">
        <f ca="1">Details!Y152</f>
        <v>-31372.829333333299</v>
      </c>
      <c r="W37" s="194">
        <f ca="1">Details!Z152</f>
        <v>10755.852666666673</v>
      </c>
      <c r="X37" s="194">
        <f ca="1">Details!AA152</f>
        <v>34547.012666666706</v>
      </c>
      <c r="Y37" s="194">
        <f ca="1">Details!AB152</f>
        <v>82692.08666666667</v>
      </c>
      <c r="Z37" s="194">
        <f ca="1">Details!AC152</f>
        <v>87008.788666666835</v>
      </c>
      <c r="AA37" s="194">
        <f ca="1">Details!AD152</f>
        <v>201045.27466666675</v>
      </c>
      <c r="AE37" s="194" t="s">
        <v>381</v>
      </c>
      <c r="AF37" s="194" t="s">
        <v>485</v>
      </c>
      <c r="AH37" s="386">
        <f>'Summary Statements'!C25/1000000</f>
        <v>-0.2744014766666667</v>
      </c>
      <c r="AI37" s="386">
        <f ca="1">'Summary Statements'!D25/1000000</f>
        <v>-3.0444249999999069E-2</v>
      </c>
      <c r="AJ37" s="386">
        <f>'Summary Statements'!E25/1000000</f>
        <v>1.8414372583333329</v>
      </c>
      <c r="AK37" s="386">
        <f>'Summary Statements'!F25/1000000</f>
        <v>3.3466500676666664</v>
      </c>
      <c r="AL37" s="386">
        <f>'Summary Statements'!G25/1000000</f>
        <v>4.0708162806666683</v>
      </c>
    </row>
    <row r="38" spans="2:39">
      <c r="B38" s="194" t="str">
        <f>Details!A128</f>
        <v>Total Adv/Promotion</v>
      </c>
      <c r="D38" s="194">
        <f>Details!F128</f>
        <v>0</v>
      </c>
      <c r="E38" s="194">
        <f>Details!G128</f>
        <v>0</v>
      </c>
      <c r="F38" s="194">
        <f>Details!H128</f>
        <v>15000</v>
      </c>
      <c r="G38" s="194">
        <f>Details!I128</f>
        <v>15000</v>
      </c>
      <c r="H38" s="194">
        <f>Details!J128</f>
        <v>10000</v>
      </c>
      <c r="I38" s="194">
        <f>Details!K128</f>
        <v>10000</v>
      </c>
      <c r="J38" s="194">
        <f>Details!L128</f>
        <v>15000</v>
      </c>
      <c r="K38" s="194">
        <f>Details!M128</f>
        <v>15000</v>
      </c>
      <c r="L38" s="194">
        <f>Details!N128</f>
        <v>15000</v>
      </c>
      <c r="M38" s="194">
        <f>Details!O128</f>
        <v>25000</v>
      </c>
      <c r="N38" s="194">
        <f>Details!P128</f>
        <v>45000</v>
      </c>
      <c r="O38" s="194">
        <f>Details!Q128</f>
        <v>25000</v>
      </c>
      <c r="P38" s="194">
        <f>Details!S128</f>
        <v>24780</v>
      </c>
      <c r="Q38" s="194">
        <f>Details!T128</f>
        <v>29240</v>
      </c>
      <c r="R38" s="194">
        <f>Details!U128</f>
        <v>64504</v>
      </c>
      <c r="S38" s="194">
        <f>Details!V128</f>
        <v>70714</v>
      </c>
      <c r="T38" s="194">
        <f>Details!W128</f>
        <v>48043</v>
      </c>
      <c r="U38" s="194">
        <f>Details!X128</f>
        <v>56691</v>
      </c>
      <c r="V38" s="194">
        <f>Details!Y128</f>
        <v>83619</v>
      </c>
      <c r="W38" s="194">
        <f>Details!Z128</f>
        <v>98670</v>
      </c>
      <c r="X38" s="194">
        <f>Details!AA128</f>
        <v>116431</v>
      </c>
      <c r="Y38" s="194">
        <f>Details!AB128</f>
        <v>137389</v>
      </c>
      <c r="Z38" s="194">
        <f>Details!AC128</f>
        <v>194542</v>
      </c>
      <c r="AA38" s="194">
        <f>Details!AD128</f>
        <v>153040</v>
      </c>
      <c r="AE38" s="194" t="str">
        <f>B38</f>
        <v>Total Adv/Promotion</v>
      </c>
      <c r="AF38" s="194" t="s">
        <v>485</v>
      </c>
      <c r="AH38" s="386">
        <f>Details!R128/1000000</f>
        <v>0.19</v>
      </c>
      <c r="AI38" s="386">
        <f>Details!AE128/1000000</f>
        <v>1.077663</v>
      </c>
      <c r="AJ38" s="386">
        <f>Details!AF128/1000000</f>
        <v>2.7668900000000001</v>
      </c>
      <c r="AK38" s="386">
        <f>Details!AG128/1000000</f>
        <v>3.3107099999999998</v>
      </c>
      <c r="AL38" s="386">
        <f>Details!AH128/1000000</f>
        <v>4.965795</v>
      </c>
      <c r="AM38" s="194">
        <f>SUM(AH38:AL38)</f>
        <v>12.311057999999999</v>
      </c>
    </row>
    <row r="39" spans="2:39">
      <c r="B39" s="194" t="s">
        <v>239</v>
      </c>
      <c r="AE39" s="194" t="s">
        <v>500</v>
      </c>
      <c r="AF39" s="194" t="s">
        <v>485</v>
      </c>
      <c r="AH39" s="386">
        <f>Details!R100/1000000</f>
        <v>0</v>
      </c>
      <c r="AI39" s="386">
        <f>Details!AE100/1000000</f>
        <v>0.50000000000000011</v>
      </c>
      <c r="AJ39" s="386">
        <f>Details!AF100/1000000</f>
        <v>0.75000000000000011</v>
      </c>
      <c r="AK39" s="386">
        <f>Details!AG100/1000000</f>
        <v>1.1250000000000002</v>
      </c>
      <c r="AL39" s="386">
        <f>Details!AH100/1000000</f>
        <v>1.6875000000000004</v>
      </c>
      <c r="AM39" s="194">
        <f>SUM(AH39:AL39)</f>
        <v>4.0625000000000009</v>
      </c>
    </row>
    <row r="40" spans="2:39">
      <c r="AE40" s="194" t="s">
        <v>189</v>
      </c>
      <c r="AF40" s="194" t="s">
        <v>485</v>
      </c>
      <c r="AH40" s="386">
        <f>D11</f>
        <v>0.37012499999999998</v>
      </c>
      <c r="AI40" s="386">
        <f>E11</f>
        <v>4.327968750000001</v>
      </c>
      <c r="AJ40" s="386">
        <f>F11</f>
        <v>10.587559499999999</v>
      </c>
      <c r="AK40" s="386">
        <f>G11</f>
        <v>15.353550450000002</v>
      </c>
      <c r="AL40" s="386">
        <f>H11</f>
        <v>20.38997835</v>
      </c>
      <c r="AM40" s="194">
        <f>SUM(AH40:AL40)</f>
        <v>51.029182050000003</v>
      </c>
    </row>
    <row r="41" spans="2:39">
      <c r="R41" s="194" t="s">
        <v>338</v>
      </c>
      <c r="AE41" s="194" t="s">
        <v>515</v>
      </c>
      <c r="AF41" s="194" t="s">
        <v>344</v>
      </c>
      <c r="AH41" s="404">
        <f t="shared" ref="AH41" si="5">AH38/AH40</f>
        <v>0.51334008780817297</v>
      </c>
      <c r="AI41" s="404">
        <f>AI38/AI40</f>
        <v>0.24899971840138629</v>
      </c>
      <c r="AJ41" s="404">
        <f t="shared" ref="AJ41:AL41" si="6">AJ38/AJ40</f>
        <v>0.2613340685358132</v>
      </c>
      <c r="AK41" s="404">
        <f t="shared" si="6"/>
        <v>0.21563155771569431</v>
      </c>
      <c r="AL41" s="404">
        <f t="shared" si="6"/>
        <v>0.24354096481912155</v>
      </c>
      <c r="AM41" s="605">
        <f>AM38/AM40</f>
        <v>0.24125524857398725</v>
      </c>
    </row>
    <row r="42" spans="2:39">
      <c r="AM42" s="605">
        <f>AM39/AM40</f>
        <v>7.9611309388017137E-2</v>
      </c>
    </row>
    <row r="43" spans="2:39">
      <c r="AE43" s="194" t="str">
        <f>B39</f>
        <v>Units</v>
      </c>
      <c r="AF43" s="194" t="s">
        <v>499</v>
      </c>
      <c r="AH43" s="386">
        <f>D8</f>
        <v>0.35249999999999998</v>
      </c>
      <c r="AI43" s="386">
        <f>E8</f>
        <v>3.3931140000000002</v>
      </c>
      <c r="AJ43" s="386">
        <f>F8</f>
        <v>10.08339</v>
      </c>
      <c r="AK43" s="386">
        <f>G8</f>
        <v>14.622429</v>
      </c>
      <c r="AL43" s="386">
        <f>H8</f>
        <v>19.419027</v>
      </c>
    </row>
    <row r="44" spans="2:39">
      <c r="AE44" s="194" t="s">
        <v>508</v>
      </c>
      <c r="AF44" s="194" t="s">
        <v>501</v>
      </c>
      <c r="AH44" s="194">
        <f>(AH43*1000000)/(AH57/1.5)</f>
        <v>50.841346153846153</v>
      </c>
      <c r="AI44" s="194">
        <f>(AI43*1000000)/(AI57)</f>
        <v>296.6008741258741</v>
      </c>
      <c r="AJ44" s="194">
        <f>(AJ43*1000000)/(AJ57)</f>
        <v>801.28655435473593</v>
      </c>
      <c r="AK44" s="194">
        <f>(AK43*1000000)/(AK57)</f>
        <v>1056.3507050800436</v>
      </c>
      <c r="AL44" s="194">
        <f>(AL43*1000000)/(AL57)</f>
        <v>1275.3323779901534</v>
      </c>
    </row>
    <row r="45" spans="2:39">
      <c r="AE45" s="194" t="s">
        <v>513</v>
      </c>
      <c r="AH45" s="605">
        <f>AH44/AH53</f>
        <v>5.5738901596283204E-2</v>
      </c>
      <c r="AI45" s="605">
        <f>AI44/AI54</f>
        <v>5.1323534435239668E-2</v>
      </c>
      <c r="AJ45" s="605">
        <f>AJ44/AJ55</f>
        <v>5.3665260592801141E-2</v>
      </c>
      <c r="AK45" s="605">
        <f>AK44/AK55</f>
        <v>6.9360679969302175E-2</v>
      </c>
      <c r="AL45" s="605">
        <f>AL44/AL55</f>
        <v>8.2097215886235544E-2</v>
      </c>
    </row>
    <row r="46" spans="2:39">
      <c r="AE46" s="194" t="s">
        <v>506</v>
      </c>
      <c r="AF46" s="194" t="s">
        <v>507</v>
      </c>
      <c r="AH46" s="194">
        <f>AH57</f>
        <v>10400</v>
      </c>
      <c r="AI46" s="194">
        <f>AI57</f>
        <v>11440.000000000002</v>
      </c>
      <c r="AJ46" s="194">
        <f>AJ57</f>
        <v>12584.000000000004</v>
      </c>
      <c r="AK46" s="194">
        <f>AK57</f>
        <v>13842.400000000005</v>
      </c>
      <c r="AL46" s="194">
        <f>AL57</f>
        <v>15226.640000000009</v>
      </c>
    </row>
    <row r="48" spans="2:39">
      <c r="AE48" s="194" t="s">
        <v>512</v>
      </c>
      <c r="AF48" s="194" t="s">
        <v>514</v>
      </c>
      <c r="AH48" s="194">
        <f>(AH38*1000000)/AH44</f>
        <v>3737.1158392434991</v>
      </c>
      <c r="AI48" s="194">
        <f>(AI38*1000000)/AI44</f>
        <v>3633.3776937644893</v>
      </c>
      <c r="AJ48" s="194">
        <f>(AJ38*1000000)/AJ44</f>
        <v>3453.0593143774076</v>
      </c>
      <c r="AK48" s="194">
        <f>(AK38*1000000)/AK44</f>
        <v>3134.1011882499151</v>
      </c>
      <c r="AL48" s="194">
        <f>(AL38*1000000)/AL44</f>
        <v>3893.7261263811024</v>
      </c>
    </row>
    <row r="49" spans="31:38">
      <c r="AE49" s="194" t="s">
        <v>503</v>
      </c>
      <c r="AF49" s="194" t="s">
        <v>514</v>
      </c>
      <c r="AH49" s="194">
        <f>(AH40*1000000)/AH44</f>
        <v>7280</v>
      </c>
      <c r="AI49" s="194">
        <f>(AI40*1000000)/AI44</f>
        <v>14591.894790449132</v>
      </c>
      <c r="AJ49" s="194">
        <f>(AJ40*1000000)/AJ44</f>
        <v>13213.200000000004</v>
      </c>
      <c r="AK49" s="194">
        <f>(AK40*1000000)/AK44</f>
        <v>14534.520000000006</v>
      </c>
      <c r="AL49" s="194">
        <f>(AL40*1000000)/AL44</f>
        <v>15987.972000000009</v>
      </c>
    </row>
    <row r="50" spans="31:38">
      <c r="AE50" s="194" t="s">
        <v>502</v>
      </c>
      <c r="AH50" s="630">
        <f>AH49/AH48</f>
        <v>1.9480263157894735</v>
      </c>
      <c r="AI50" s="630">
        <f t="shared" ref="AI50:AL50" si="7">AI49/AI48</f>
        <v>4.0160687988731176</v>
      </c>
      <c r="AJ50" s="630">
        <f t="shared" si="7"/>
        <v>3.8265198471930582</v>
      </c>
      <c r="AK50" s="630">
        <f t="shared" si="7"/>
        <v>4.6375401197930355</v>
      </c>
      <c r="AL50" s="630">
        <f t="shared" si="7"/>
        <v>4.1060854002229252</v>
      </c>
    </row>
    <row r="52" spans="31:38">
      <c r="AE52" s="628" t="s">
        <v>505</v>
      </c>
      <c r="AF52" s="627"/>
      <c r="AG52" s="627"/>
      <c r="AH52" s="629">
        <f>AH36</f>
        <v>2019</v>
      </c>
      <c r="AI52" s="629">
        <f>AI36</f>
        <v>2020</v>
      </c>
      <c r="AJ52" s="629">
        <f>AJ36</f>
        <v>2021</v>
      </c>
      <c r="AK52" s="629">
        <f>AK36</f>
        <v>2022</v>
      </c>
      <c r="AL52" s="629">
        <f>AL36</f>
        <v>2023</v>
      </c>
    </row>
    <row r="53" spans="31:38">
      <c r="AE53" s="194" t="s">
        <v>357</v>
      </c>
      <c r="AF53" s="404">
        <v>0.02</v>
      </c>
      <c r="AG53" s="194">
        <f>AG61*($AG$64+$AG$65)</f>
        <v>894.24900000000002</v>
      </c>
      <c r="AH53" s="194">
        <f t="shared" ref="AH53:AL55" si="8">AG53*($AF$53+1)</f>
        <v>912.13398000000007</v>
      </c>
      <c r="AI53" s="194">
        <f t="shared" si="8"/>
        <v>930.37665960000004</v>
      </c>
      <c r="AJ53" s="194">
        <f t="shared" si="8"/>
        <v>948.98419279200004</v>
      </c>
      <c r="AK53" s="194">
        <f t="shared" si="8"/>
        <v>967.96387664784004</v>
      </c>
      <c r="AL53" s="194">
        <f t="shared" si="8"/>
        <v>987.32315418079691</v>
      </c>
    </row>
    <row r="54" spans="31:38">
      <c r="AE54" s="194" t="s">
        <v>358</v>
      </c>
      <c r="AG54" s="194">
        <f>AG62*($AG$64+$AG$65)</f>
        <v>5554.6350000000002</v>
      </c>
      <c r="AH54" s="194">
        <f t="shared" si="8"/>
        <v>5665.7277000000004</v>
      </c>
      <c r="AI54" s="194">
        <f t="shared" si="8"/>
        <v>5779.0422540000009</v>
      </c>
      <c r="AJ54" s="194">
        <f t="shared" si="8"/>
        <v>5894.6230990800013</v>
      </c>
      <c r="AK54" s="194">
        <f t="shared" si="8"/>
        <v>6012.5155610616011</v>
      </c>
      <c r="AL54" s="194">
        <f t="shared" si="8"/>
        <v>6132.7658722828337</v>
      </c>
    </row>
    <row r="55" spans="31:38">
      <c r="AE55" s="194" t="s">
        <v>511</v>
      </c>
      <c r="AG55" s="194">
        <f>AG63*($AG$64+$AG$65)</f>
        <v>14070</v>
      </c>
      <c r="AH55" s="194">
        <f t="shared" si="8"/>
        <v>14351.4</v>
      </c>
      <c r="AI55" s="194">
        <f t="shared" si="8"/>
        <v>14638.428</v>
      </c>
      <c r="AJ55" s="194">
        <f t="shared" si="8"/>
        <v>14931.19656</v>
      </c>
      <c r="AK55" s="194">
        <f t="shared" si="8"/>
        <v>15229.8204912</v>
      </c>
      <c r="AL55" s="194">
        <f t="shared" si="8"/>
        <v>15534.416901024</v>
      </c>
    </row>
    <row r="56" spans="31:38">
      <c r="AE56" s="194" t="s">
        <v>379</v>
      </c>
      <c r="AF56" s="194" t="s">
        <v>509</v>
      </c>
      <c r="AH56" s="194">
        <v>200</v>
      </c>
      <c r="AI56" s="194">
        <f>AH56*1.1</f>
        <v>220.00000000000003</v>
      </c>
      <c r="AJ56" s="194">
        <f t="shared" ref="AJ56:AL56" si="9">AI56*1.1</f>
        <v>242.00000000000006</v>
      </c>
      <c r="AK56" s="194">
        <f t="shared" si="9"/>
        <v>266.2000000000001</v>
      </c>
      <c r="AL56" s="194">
        <f t="shared" si="9"/>
        <v>292.82000000000016</v>
      </c>
    </row>
    <row r="57" spans="31:38">
      <c r="AE57" s="194" t="s">
        <v>379</v>
      </c>
      <c r="AF57" s="194" t="s">
        <v>509</v>
      </c>
      <c r="AH57" s="194">
        <f>AH56*52</f>
        <v>10400</v>
      </c>
      <c r="AI57" s="194">
        <f t="shared" ref="AI57:AL57" si="10">AI56*52</f>
        <v>11440.000000000002</v>
      </c>
      <c r="AJ57" s="194">
        <f t="shared" si="10"/>
        <v>12584.000000000004</v>
      </c>
      <c r="AK57" s="194">
        <f t="shared" si="10"/>
        <v>13842.400000000005</v>
      </c>
      <c r="AL57" s="194">
        <f t="shared" si="10"/>
        <v>15226.640000000009</v>
      </c>
    </row>
    <row r="60" spans="31:38">
      <c r="AE60" s="628" t="s">
        <v>504</v>
      </c>
      <c r="AF60" s="627"/>
      <c r="AG60" s="627"/>
      <c r="AH60" s="627"/>
      <c r="AI60" s="627"/>
      <c r="AJ60" s="627"/>
      <c r="AK60" s="627"/>
      <c r="AL60" s="627"/>
    </row>
    <row r="61" spans="31:38">
      <c r="AE61" s="194" t="s">
        <v>357</v>
      </c>
      <c r="AG61" s="194">
        <v>4449</v>
      </c>
    </row>
    <row r="62" spans="31:38">
      <c r="AE62" s="194" t="s">
        <v>358</v>
      </c>
      <c r="AG62" s="194">
        <f>4449+4489+4388+4283+3634+3191+3201</f>
        <v>27635</v>
      </c>
    </row>
    <row r="63" spans="31:38">
      <c r="AE63" s="194" t="s">
        <v>356</v>
      </c>
      <c r="AG63" s="194">
        <f>70000</f>
        <v>70000</v>
      </c>
    </row>
    <row r="64" spans="31:38">
      <c r="AE64" s="194" t="s">
        <v>505</v>
      </c>
      <c r="AG64" s="626">
        <v>8.5999999999999993E-2</v>
      </c>
    </row>
    <row r="65" spans="31:33">
      <c r="AE65" s="194" t="s">
        <v>510</v>
      </c>
      <c r="AG65" s="626">
        <v>0.115</v>
      </c>
    </row>
  </sheetData>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N71"/>
  <sheetViews>
    <sheetView showGridLines="0" topLeftCell="A4" zoomScale="145" zoomScaleNormal="145" workbookViewId="0">
      <selection activeCell="L10" sqref="L10"/>
    </sheetView>
  </sheetViews>
  <sheetFormatPr defaultColWidth="11.21875" defaultRowHeight="9" outlineLevelRow="1"/>
  <cols>
    <col min="1" max="1" width="11.21875" style="194"/>
    <col min="2" max="2" width="28.44140625" style="194" customWidth="1"/>
    <col min="3" max="3" width="3.77734375" style="194" customWidth="1"/>
    <col min="4" max="4" width="17.44140625" style="194" customWidth="1"/>
    <col min="5" max="5" width="14.44140625" style="194" bestFit="1" customWidth="1"/>
    <col min="6" max="6" width="15.77734375" style="194" bestFit="1" customWidth="1"/>
    <col min="7" max="9" width="11.21875" style="194"/>
    <col min="10" max="10" width="14" style="194" customWidth="1"/>
    <col min="11" max="11" width="11" style="194" customWidth="1"/>
    <col min="12" max="12" width="13.77734375" style="194" bestFit="1" customWidth="1"/>
    <col min="13" max="13" width="14.21875" style="194" bestFit="1" customWidth="1"/>
    <col min="14" max="14" width="18" style="194" customWidth="1"/>
    <col min="15" max="16384" width="11.21875" style="194"/>
  </cols>
  <sheetData>
    <row r="3" spans="2:9" ht="17.649999999999999">
      <c r="B3" s="335" t="s">
        <v>409</v>
      </c>
      <c r="C3" s="336"/>
    </row>
    <row r="4" spans="2:9" ht="13.15">
      <c r="B4" s="379" t="s">
        <v>378</v>
      </c>
      <c r="C4" s="603"/>
    </row>
    <row r="6" spans="2:9">
      <c r="B6" s="613"/>
      <c r="C6" s="613"/>
      <c r="D6" s="613"/>
      <c r="E6" s="613"/>
      <c r="F6" s="613"/>
      <c r="G6" s="613"/>
      <c r="H6" s="613"/>
      <c r="I6" s="613"/>
    </row>
    <row r="7" spans="2:9">
      <c r="B7" s="662" t="s">
        <v>492</v>
      </c>
      <c r="C7" s="662"/>
      <c r="D7" s="663"/>
      <c r="E7" s="664">
        <f>YEAR(Assumptions!$I$9)</f>
        <v>2019</v>
      </c>
      <c r="F7" s="664">
        <f>E7+1</f>
        <v>2020</v>
      </c>
      <c r="G7" s="664">
        <f t="shared" ref="G7:I7" si="0">F7+1</f>
        <v>2021</v>
      </c>
      <c r="H7" s="664">
        <f t="shared" si="0"/>
        <v>2022</v>
      </c>
      <c r="I7" s="664">
        <f t="shared" si="0"/>
        <v>2023</v>
      </c>
    </row>
    <row r="8" spans="2:9">
      <c r="B8" s="194" t="s">
        <v>410</v>
      </c>
      <c r="C8" s="194" t="s">
        <v>485</v>
      </c>
      <c r="D8" s="403">
        <v>0.1</v>
      </c>
      <c r="E8" s="403"/>
      <c r="F8" s="403"/>
    </row>
    <row r="9" spans="2:9">
      <c r="B9" s="194" t="s">
        <v>416</v>
      </c>
      <c r="C9" s="194" t="s">
        <v>485</v>
      </c>
      <c r="D9" s="403"/>
      <c r="E9" s="625">
        <v>0.15</v>
      </c>
      <c r="F9" s="403"/>
    </row>
    <row r="10" spans="2:9">
      <c r="B10" s="194" t="s">
        <v>417</v>
      </c>
      <c r="C10" s="194" t="s">
        <v>485</v>
      </c>
      <c r="D10" s="403"/>
      <c r="E10" s="403"/>
      <c r="F10" s="625">
        <v>0.8</v>
      </c>
    </row>
    <row r="11" spans="2:9">
      <c r="D11" s="386"/>
      <c r="E11" s="386"/>
      <c r="F11" s="386"/>
    </row>
    <row r="12" spans="2:9">
      <c r="B12" s="616" t="s">
        <v>449</v>
      </c>
      <c r="C12" s="616" t="s">
        <v>485</v>
      </c>
      <c r="D12" s="616"/>
      <c r="E12" s="625">
        <v>0.6</v>
      </c>
      <c r="F12" s="625">
        <v>1.7</v>
      </c>
      <c r="G12" s="616"/>
      <c r="H12" s="616"/>
      <c r="I12" s="616"/>
    </row>
    <row r="13" spans="2:9" outlineLevel="1">
      <c r="B13" s="406" t="s">
        <v>464</v>
      </c>
      <c r="C13" s="406" t="s">
        <v>485</v>
      </c>
      <c r="D13" s="406"/>
      <c r="E13" s="604"/>
      <c r="F13" s="669">
        <f>Details!R251/1000000</f>
        <v>0.37012499999999998</v>
      </c>
      <c r="G13" s="406"/>
      <c r="H13" s="406"/>
      <c r="I13" s="406"/>
    </row>
    <row r="14" spans="2:9" outlineLevel="1">
      <c r="B14" s="406" t="s">
        <v>535</v>
      </c>
      <c r="C14" s="406" t="s">
        <v>463</v>
      </c>
      <c r="D14" s="406"/>
      <c r="E14" s="604"/>
      <c r="F14" s="604">
        <f>F12/F13</f>
        <v>4.5930428909152319</v>
      </c>
      <c r="G14" s="406"/>
      <c r="H14" s="406"/>
      <c r="I14" s="406"/>
    </row>
    <row r="15" spans="2:9">
      <c r="B15" s="615" t="s">
        <v>493</v>
      </c>
      <c r="C15" s="615"/>
      <c r="D15" s="615"/>
      <c r="E15" s="617">
        <f>E12+E9</f>
        <v>0.75</v>
      </c>
      <c r="F15" s="617">
        <f>F12+SUM(F8:F10)</f>
        <v>2.5</v>
      </c>
      <c r="G15" s="615"/>
      <c r="H15" s="615"/>
      <c r="I15" s="615"/>
    </row>
    <row r="16" spans="2:9">
      <c r="B16" s="194" t="s">
        <v>450</v>
      </c>
      <c r="C16" s="194" t="s">
        <v>344</v>
      </c>
      <c r="D16" s="605">
        <v>1</v>
      </c>
      <c r="E16" s="605">
        <f>D16-E17</f>
        <v>0.8</v>
      </c>
      <c r="F16" s="605">
        <f>($D$16-$F$18)*E16</f>
        <v>0.54399999999999993</v>
      </c>
    </row>
    <row r="17" spans="2:9">
      <c r="B17" s="194" t="s">
        <v>416</v>
      </c>
      <c r="C17" s="194" t="s">
        <v>344</v>
      </c>
      <c r="D17" s="606"/>
      <c r="E17" s="605">
        <f>SUM(E8:E10)/E15</f>
        <v>0.19999999999999998</v>
      </c>
      <c r="F17" s="605">
        <f>($D$16-$F$18)*E17</f>
        <v>0.13599999999999998</v>
      </c>
    </row>
    <row r="18" spans="2:9">
      <c r="B18" s="194" t="s">
        <v>417</v>
      </c>
      <c r="C18" s="194" t="s">
        <v>344</v>
      </c>
      <c r="D18" s="606"/>
      <c r="E18" s="605"/>
      <c r="F18" s="605">
        <f>SUM(F8:F10)/F15</f>
        <v>0.32</v>
      </c>
    </row>
    <row r="19" spans="2:9" hidden="1" outlineLevel="1">
      <c r="B19" s="613"/>
      <c r="C19" s="613"/>
      <c r="D19" s="613"/>
      <c r="E19" s="613"/>
      <c r="F19" s="613"/>
      <c r="G19" s="613"/>
      <c r="H19" s="613"/>
      <c r="I19" s="613"/>
    </row>
    <row r="20" spans="2:9" hidden="1" outlineLevel="1">
      <c r="B20" s="662" t="s">
        <v>451</v>
      </c>
      <c r="C20" s="662"/>
      <c r="D20" s="662" t="s">
        <v>484</v>
      </c>
      <c r="E20" s="662"/>
      <c r="F20" s="662" t="s">
        <v>486</v>
      </c>
      <c r="G20" s="662"/>
      <c r="H20" s="662"/>
      <c r="I20" s="662"/>
    </row>
    <row r="21" spans="2:9" hidden="1" outlineLevel="1">
      <c r="B21" s="194" t="s">
        <v>452</v>
      </c>
      <c r="D21" s="194" t="s">
        <v>455</v>
      </c>
    </row>
    <row r="22" spans="2:9" hidden="1" outlineLevel="1">
      <c r="B22" s="194" t="s">
        <v>452</v>
      </c>
      <c r="C22" s="613"/>
      <c r="D22" s="613" t="s">
        <v>483</v>
      </c>
      <c r="E22" s="613"/>
      <c r="F22" s="613"/>
      <c r="G22" s="613"/>
      <c r="H22" s="613"/>
      <c r="I22" s="613"/>
    </row>
    <row r="23" spans="2:9" hidden="1" outlineLevel="1">
      <c r="C23" s="613"/>
      <c r="D23" s="613"/>
      <c r="E23" s="613"/>
      <c r="F23" s="613"/>
      <c r="G23" s="613"/>
      <c r="H23" s="613"/>
      <c r="I23" s="613"/>
    </row>
    <row r="24" spans="2:9" hidden="1" outlineLevel="1">
      <c r="C24" s="613"/>
      <c r="D24" s="613"/>
      <c r="E24" s="613"/>
      <c r="F24" s="613"/>
      <c r="G24" s="613"/>
      <c r="H24" s="613"/>
      <c r="I24" s="613"/>
    </row>
    <row r="25" spans="2:9" collapsed="1">
      <c r="B25" s="613"/>
      <c r="C25" s="613"/>
      <c r="D25" s="613"/>
      <c r="E25" s="613"/>
      <c r="F25" s="613"/>
      <c r="G25" s="613"/>
      <c r="H25" s="613"/>
      <c r="I25" s="613"/>
    </row>
    <row r="26" spans="2:9">
      <c r="B26" s="662" t="s">
        <v>451</v>
      </c>
      <c r="C26" s="662"/>
      <c r="D26" s="662"/>
      <c r="E26" s="662" t="s">
        <v>487</v>
      </c>
      <c r="F26" s="662" t="s">
        <v>466</v>
      </c>
      <c r="G26" s="662"/>
      <c r="H26" s="662"/>
      <c r="I26" s="662"/>
    </row>
    <row r="27" spans="2:9">
      <c r="B27" s="194" t="s">
        <v>189</v>
      </c>
      <c r="C27" s="194" t="s">
        <v>485</v>
      </c>
      <c r="D27" s="403">
        <f>'Summary Statements'!G17/1000000</f>
        <v>20.38997835</v>
      </c>
      <c r="E27" s="614">
        <v>1.5</v>
      </c>
      <c r="F27" s="403">
        <f>E27*D27</f>
        <v>30.584967525</v>
      </c>
    </row>
    <row r="28" spans="2:9">
      <c r="B28" s="194" t="s">
        <v>381</v>
      </c>
      <c r="C28" s="194" t="s">
        <v>485</v>
      </c>
      <c r="D28" s="403">
        <f>'Summary Statements'!G25/1000000</f>
        <v>4.0708162806666683</v>
      </c>
      <c r="E28" s="614">
        <f>F28/D28</f>
        <v>7.5132271800758268</v>
      </c>
      <c r="F28" s="403">
        <f>F27</f>
        <v>30.584967525</v>
      </c>
    </row>
    <row r="29" spans="2:9">
      <c r="B29" s="194" t="s">
        <v>415</v>
      </c>
      <c r="C29" s="194" t="s">
        <v>485</v>
      </c>
      <c r="D29" s="403">
        <f ca="1">'Summary Statements'!G33/1000000</f>
        <v>2.4424897684000002</v>
      </c>
      <c r="E29" s="614">
        <f ca="1">F29/D29</f>
        <v>12.522045300126383</v>
      </c>
      <c r="F29" s="403">
        <f>F28</f>
        <v>30.584967525</v>
      </c>
    </row>
    <row r="31" spans="2:9">
      <c r="B31" s="662" t="s">
        <v>488</v>
      </c>
      <c r="C31" s="662"/>
      <c r="D31" s="662" t="s">
        <v>495</v>
      </c>
      <c r="E31" s="662" t="s">
        <v>497</v>
      </c>
      <c r="F31" s="665" t="s">
        <v>490</v>
      </c>
      <c r="G31" s="665" t="s">
        <v>491</v>
      </c>
      <c r="H31" s="662"/>
      <c r="I31" s="662"/>
    </row>
    <row r="32" spans="2:9" outlineLevel="1">
      <c r="B32" s="194" t="s">
        <v>489</v>
      </c>
      <c r="C32" s="194" t="s">
        <v>485</v>
      </c>
      <c r="D32" s="403">
        <f>(($F$27-$E$34-$E$33)*F16)</f>
        <v>16.121422333599998</v>
      </c>
      <c r="E32" s="403">
        <f>D8</f>
        <v>0.1</v>
      </c>
      <c r="F32" s="619">
        <f t="shared" ref="F32:F33" si="1">D32/E32</f>
        <v>161.21422333599998</v>
      </c>
      <c r="G32" s="404">
        <f>IRR(D38:J38)</f>
        <v>1.3329238295861754</v>
      </c>
    </row>
    <row r="33" spans="2:13">
      <c r="B33" s="194" t="s">
        <v>416</v>
      </c>
      <c r="C33" s="194" t="s">
        <v>485</v>
      </c>
      <c r="D33" s="403">
        <f>(($F$27-$E$34-$E$33)*F17)+E33</f>
        <v>4.1803555833999999</v>
      </c>
      <c r="E33" s="403">
        <f>E9</f>
        <v>0.15</v>
      </c>
      <c r="F33" s="619">
        <f t="shared" si="1"/>
        <v>27.869037222666666</v>
      </c>
      <c r="G33" s="404">
        <f>F41</f>
        <v>1.0138031363487245</v>
      </c>
    </row>
    <row r="34" spans="2:13">
      <c r="B34" s="405" t="s">
        <v>417</v>
      </c>
      <c r="C34" s="405" t="s">
        <v>485</v>
      </c>
      <c r="D34" s="415">
        <f>(($F$27-$E$34-$E$33)*F18)+E34</f>
        <v>10.283189608000001</v>
      </c>
      <c r="E34" s="415">
        <f>F10</f>
        <v>0.8</v>
      </c>
      <c r="F34" s="618">
        <f>D34/E34</f>
        <v>12.853987010000001</v>
      </c>
      <c r="G34" s="620">
        <f>I41</f>
        <v>0.8934745192527771</v>
      </c>
      <c r="H34" s="405"/>
      <c r="I34" s="405"/>
    </row>
    <row r="35" spans="2:13">
      <c r="D35" s="403">
        <f>SUM(D32:D34)</f>
        <v>30.584967525</v>
      </c>
    </row>
    <row r="37" spans="2:13" outlineLevel="1">
      <c r="B37" s="612" t="s">
        <v>491</v>
      </c>
      <c r="C37" s="612"/>
      <c r="D37" s="623">
        <f>E37-1</f>
        <v>2018</v>
      </c>
      <c r="E37" s="623">
        <f>YEAR(Assumptions!$I$9)</f>
        <v>2019</v>
      </c>
      <c r="F37" s="623">
        <f>E37+1</f>
        <v>2020</v>
      </c>
      <c r="G37" s="623">
        <f t="shared" ref="G37" si="2">F37+1</f>
        <v>2021</v>
      </c>
      <c r="H37" s="623">
        <f t="shared" ref="H37" si="3">G37+1</f>
        <v>2022</v>
      </c>
      <c r="I37" s="623">
        <f t="shared" ref="I37" si="4">H37+1</f>
        <v>2023</v>
      </c>
      <c r="J37" s="623" t="s">
        <v>494</v>
      </c>
    </row>
    <row r="38" spans="2:13" outlineLevel="1">
      <c r="B38" s="194" t="s">
        <v>410</v>
      </c>
      <c r="C38" s="194" t="s">
        <v>485</v>
      </c>
      <c r="D38" s="386">
        <f t="shared" ref="D38:I38" si="5">-D8</f>
        <v>-0.1</v>
      </c>
      <c r="E38" s="621">
        <f t="shared" si="5"/>
        <v>0</v>
      </c>
      <c r="F38" s="386">
        <f t="shared" si="5"/>
        <v>0</v>
      </c>
      <c r="G38" s="386">
        <f t="shared" si="5"/>
        <v>0</v>
      </c>
      <c r="H38" s="386">
        <f t="shared" si="5"/>
        <v>0</v>
      </c>
      <c r="I38" s="386">
        <f t="shared" si="5"/>
        <v>0</v>
      </c>
      <c r="J38" s="622">
        <f>D32</f>
        <v>16.121422333599998</v>
      </c>
    </row>
    <row r="39" spans="2:13" outlineLevel="1">
      <c r="D39" s="386"/>
      <c r="E39" s="666"/>
      <c r="F39" s="386"/>
      <c r="G39" s="386"/>
      <c r="H39" s="386"/>
      <c r="I39" s="386"/>
      <c r="J39" s="640"/>
    </row>
    <row r="40" spans="2:13" outlineLevel="1">
      <c r="D40" s="667">
        <f>-E33</f>
        <v>-0.15</v>
      </c>
      <c r="E40" s="631">
        <v>43556</v>
      </c>
      <c r="G40" s="403">
        <f>-E34</f>
        <v>-0.8</v>
      </c>
      <c r="H40" s="631">
        <v>43831</v>
      </c>
      <c r="J40" s="640"/>
    </row>
    <row r="41" spans="2:13">
      <c r="D41" s="667">
        <f>D33</f>
        <v>4.1803555833999999</v>
      </c>
      <c r="E41" s="631">
        <v>45291</v>
      </c>
      <c r="F41" s="668">
        <f>XIRR(D40:D41,E40:E41,)</f>
        <v>1.0138031363487245</v>
      </c>
      <c r="G41" s="403">
        <f>D34</f>
        <v>10.283189608000001</v>
      </c>
      <c r="H41" s="631">
        <v>45291</v>
      </c>
      <c r="I41" s="668">
        <f>XIRR(G40:G41,H40:H41,)</f>
        <v>0.8934745192527771</v>
      </c>
    </row>
    <row r="43" spans="2:13" ht="18.600000000000001" customHeight="1">
      <c r="B43" s="611" t="s">
        <v>533</v>
      </c>
      <c r="C43" s="607"/>
      <c r="D43" s="607" t="s">
        <v>468</v>
      </c>
      <c r="E43" s="607"/>
      <c r="F43" s="607" t="s">
        <v>467</v>
      </c>
      <c r="G43" s="607"/>
      <c r="H43" s="607"/>
      <c r="I43" s="607"/>
      <c r="J43" s="611" t="s">
        <v>466</v>
      </c>
      <c r="K43" s="611" t="s">
        <v>465</v>
      </c>
      <c r="L43" s="611" t="s">
        <v>470</v>
      </c>
      <c r="M43" s="607" t="s">
        <v>469</v>
      </c>
    </row>
    <row r="44" spans="2:13">
      <c r="B44" s="609" t="s">
        <v>461</v>
      </c>
      <c r="D44" s="609" t="s">
        <v>462</v>
      </c>
      <c r="E44" s="610"/>
      <c r="F44" s="609" t="s">
        <v>460</v>
      </c>
      <c r="H44" s="609"/>
      <c r="I44" s="609"/>
      <c r="J44" s="609" t="s">
        <v>453</v>
      </c>
      <c r="K44" s="609" t="s">
        <v>459</v>
      </c>
      <c r="L44" s="610"/>
      <c r="M44" s="608">
        <v>42937</v>
      </c>
    </row>
    <row r="45" spans="2:13">
      <c r="B45" s="609" t="s">
        <v>454</v>
      </c>
      <c r="D45" s="609" t="s">
        <v>455</v>
      </c>
      <c r="E45" s="610"/>
      <c r="F45" s="609" t="s">
        <v>456</v>
      </c>
      <c r="H45" s="609"/>
      <c r="I45" s="610"/>
      <c r="J45" s="609" t="s">
        <v>457</v>
      </c>
      <c r="K45" s="609" t="s">
        <v>458</v>
      </c>
      <c r="L45" s="610"/>
      <c r="M45" s="608">
        <v>42896</v>
      </c>
    </row>
    <row r="46" spans="2:13">
      <c r="B46" s="609" t="s">
        <v>471</v>
      </c>
      <c r="D46" s="609" t="s">
        <v>472</v>
      </c>
      <c r="E46" s="610"/>
      <c r="F46" s="609" t="s">
        <v>473</v>
      </c>
      <c r="H46" s="609"/>
      <c r="I46" s="610"/>
      <c r="J46" s="609" t="s">
        <v>474</v>
      </c>
      <c r="K46" s="609" t="s">
        <v>475</v>
      </c>
      <c r="L46" s="610" t="s">
        <v>476</v>
      </c>
      <c r="M46" s="608">
        <v>42919</v>
      </c>
    </row>
    <row r="47" spans="2:13">
      <c r="B47" s="609" t="s">
        <v>477</v>
      </c>
      <c r="D47" s="609" t="s">
        <v>478</v>
      </c>
      <c r="E47" s="610"/>
      <c r="F47" s="609" t="s">
        <v>479</v>
      </c>
      <c r="H47" s="609"/>
      <c r="I47" s="610"/>
      <c r="J47" s="609" t="s">
        <v>480</v>
      </c>
      <c r="K47" s="609" t="s">
        <v>481</v>
      </c>
      <c r="L47" s="610"/>
      <c r="M47" s="608">
        <v>42968</v>
      </c>
    </row>
    <row r="48" spans="2:13">
      <c r="B48" s="609"/>
      <c r="D48" s="609"/>
      <c r="E48" s="610"/>
      <c r="F48" s="609"/>
      <c r="H48" s="609"/>
      <c r="I48" s="610"/>
      <c r="J48" s="609"/>
      <c r="K48" s="609"/>
      <c r="L48" s="610"/>
      <c r="M48" s="608"/>
    </row>
    <row r="49" spans="2:14">
      <c r="B49" s="609"/>
      <c r="D49" s="609"/>
      <c r="E49" s="610"/>
      <c r="F49" s="609"/>
      <c r="H49" s="609"/>
      <c r="I49" s="610"/>
      <c r="J49" s="609"/>
      <c r="K49" s="609"/>
      <c r="L49" s="610"/>
      <c r="M49" s="608"/>
    </row>
    <row r="50" spans="2:14">
      <c r="B50" s="609"/>
      <c r="D50" s="609"/>
      <c r="E50" s="610"/>
      <c r="F50" s="609"/>
      <c r="H50" s="609"/>
      <c r="I50" s="610"/>
      <c r="J50" s="609"/>
      <c r="K50" s="609"/>
      <c r="L50" s="610"/>
      <c r="M50" s="608"/>
    </row>
    <row r="51" spans="2:14">
      <c r="B51" s="609"/>
      <c r="D51" s="609"/>
      <c r="E51" s="610"/>
      <c r="F51" s="609"/>
      <c r="H51" s="609"/>
      <c r="I51" s="610"/>
      <c r="J51" s="609"/>
      <c r="K51" s="609"/>
      <c r="L51" s="610"/>
      <c r="M51" s="608"/>
    </row>
    <row r="52" spans="2:14">
      <c r="B52" s="611" t="s">
        <v>534</v>
      </c>
      <c r="C52" s="611"/>
      <c r="D52" s="611"/>
      <c r="E52" s="611"/>
      <c r="F52" s="611"/>
      <c r="G52" s="611"/>
      <c r="H52" s="611"/>
      <c r="I52" s="611"/>
      <c r="J52" s="611"/>
      <c r="K52" s="611"/>
      <c r="L52" s="611"/>
      <c r="M52" s="611"/>
      <c r="N52" s="609"/>
    </row>
    <row r="53" spans="2:14" ht="11.65">
      <c r="B53" s="602"/>
      <c r="C53" s="602"/>
      <c r="D53" s="602"/>
      <c r="E53" s="601"/>
      <c r="F53" s="601"/>
    </row>
    <row r="54" spans="2:14" ht="11.65">
      <c r="B54" s="602"/>
      <c r="C54" s="602"/>
      <c r="D54" s="602"/>
      <c r="E54" s="601"/>
      <c r="F54" s="601"/>
    </row>
    <row r="65" spans="2:6">
      <c r="F65" s="194" t="s">
        <v>496</v>
      </c>
    </row>
    <row r="71" spans="2:6">
      <c r="B71" s="609" t="s">
        <v>482</v>
      </c>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Instructions</vt:lpstr>
      <vt:lpstr>Assumptions</vt:lpstr>
      <vt:lpstr>Grants</vt:lpstr>
      <vt:lpstr>PROD</vt:lpstr>
      <vt:lpstr>COGS</vt:lpstr>
      <vt:lpstr>Details</vt:lpstr>
      <vt:lpstr>Summary Statements</vt:lpstr>
      <vt:lpstr>Summary Tables</vt:lpstr>
      <vt:lpstr>Exit</vt:lpstr>
      <vt:lpstr>Cap Sturcture</vt:lpstr>
      <vt:lpstr>Sources</vt:lpstr>
      <vt:lpstr>COGS!all</vt:lpstr>
      <vt:lpstr>all</vt:lpstr>
      <vt:lpstr>Details!balance</vt:lpstr>
      <vt:lpstr>'Summary Statements'!balance</vt:lpstr>
      <vt:lpstr>big</vt:lpstr>
      <vt:lpstr>calculations</vt:lpstr>
      <vt:lpstr>capital</vt:lpstr>
      <vt:lpstr>COGS!cash</vt:lpstr>
      <vt:lpstr>cash</vt:lpstr>
      <vt:lpstr>Details!income</vt:lpstr>
      <vt:lpstr>'Summary Statements'!income</vt:lpstr>
      <vt:lpstr>Assumptions!Print_Area</vt:lpstr>
      <vt:lpstr>COGS!Print_Area</vt:lpstr>
      <vt:lpstr>Details!Print_Area</vt:lpstr>
      <vt:lpstr>Instructions!Print_Area</vt:lpstr>
      <vt:lpstr>'Summary Statements'!Print_Area</vt:lpstr>
      <vt:lpstr>Assumptions!Print_Titles</vt:lpstr>
      <vt:lpstr>COGS!Print_Titles</vt:lpstr>
      <vt:lpstr>Details!Print_Titles</vt:lpstr>
      <vt:lpstr>COGS!product</vt:lpstr>
      <vt:lpstr>product</vt:lpstr>
      <vt:lpstr>Details!sources</vt:lpstr>
      <vt:lpstr>'Summary Statements'!sources</vt:lpstr>
      <vt:lpstr>staff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S. Wu</dc:creator>
  <cp:lastModifiedBy>Bergmeister,Suzanne</cp:lastModifiedBy>
  <cp:lastPrinted>2010-02-08T20:31:05Z</cp:lastPrinted>
  <dcterms:created xsi:type="dcterms:W3CDTF">2000-01-12T21:05:47Z</dcterms:created>
  <dcterms:modified xsi:type="dcterms:W3CDTF">2021-06-24T12:26:21Z</dcterms:modified>
</cp:coreProperties>
</file>